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65476" windowWidth="14190" windowHeight="11640" tabRatio="886" activeTab="2"/>
  </bookViews>
  <sheets>
    <sheet name="Модернизация  котельного оборуд" sheetId="1" r:id="rId1"/>
    <sheet name="Альтернатива" sheetId="2" r:id="rId2"/>
    <sheet name="Деентрализация" sheetId="3" r:id="rId3"/>
    <sheet name="Сбор финансирование" sheetId="4" r:id="rId4"/>
    <sheet name="капвклад" sheetId="5" state="hidden" r:id="rId5"/>
  </sheets>
  <definedNames>
    <definedName name="_xlnm.Print_Titles" localSheetId="1">'Альтернатива'!$1:$5</definedName>
    <definedName name="_xlnm.Print_Titles" localSheetId="2">'Деентрализация'!$1:$5</definedName>
    <definedName name="_xlnm.Print_Titles" localSheetId="0">'Модернизация  котельного оборуд'!$5:$10</definedName>
    <definedName name="_xlnm.Print_Area" localSheetId="1">'Альтернатива'!$A$1:$K$43</definedName>
    <definedName name="_xlnm.Print_Area" localSheetId="2">'Деентрализация'!$A$1:$Q$43</definedName>
    <definedName name="_xlnm.Print_Area" localSheetId="0">'Модернизация  котельного оборуд'!$A$1:$U$47</definedName>
    <definedName name="_xlnm.Print_Area" localSheetId="3">'Сбор финансирование'!$A$2:$G$44</definedName>
  </definedNames>
  <calcPr fullCalcOnLoad="1"/>
</workbook>
</file>

<file path=xl/sharedStrings.xml><?xml version="1.0" encoding="utf-8"?>
<sst xmlns="http://schemas.openxmlformats.org/spreadsheetml/2006/main" count="286" uniqueCount="131">
  <si>
    <t>№ з/п</t>
  </si>
  <si>
    <t>Луганськ</t>
  </si>
  <si>
    <t>Антрацит</t>
  </si>
  <si>
    <t>Алчевськ</t>
  </si>
  <si>
    <t>Рубіжнє</t>
  </si>
  <si>
    <t>Ровеньки</t>
  </si>
  <si>
    <t>Брянка</t>
  </si>
  <si>
    <t>Краснодон</t>
  </si>
  <si>
    <t>Кіровськ</t>
  </si>
  <si>
    <t>Красний Луч</t>
  </si>
  <si>
    <t>Сєвєродонецьк</t>
  </si>
  <si>
    <t>Облтепло (м.Луганськ)</t>
  </si>
  <si>
    <t>Міста</t>
  </si>
  <si>
    <t>Райони</t>
  </si>
  <si>
    <t>Антрацитівський</t>
  </si>
  <si>
    <t>Кременський</t>
  </si>
  <si>
    <t>Білокуракінський</t>
  </si>
  <si>
    <t>Реконструкція тепломереж</t>
  </si>
  <si>
    <t>Встановлення теплоутилізаційного обладнання</t>
  </si>
  <si>
    <t>Заміна насосного обладнання</t>
  </si>
  <si>
    <t>Частотне регулювання електрообладнання</t>
  </si>
  <si>
    <t>Встановлення на котельнях приладів обліку теплової енергії</t>
  </si>
  <si>
    <t>Децентралізація</t>
  </si>
  <si>
    <t>Встановлення установок сонячного гарячого водопостачання</t>
  </si>
  <si>
    <t>Заміна і модернізація газових котлів</t>
  </si>
  <si>
    <t>Термомодернізація будівель</t>
  </si>
  <si>
    <t>комун</t>
  </si>
  <si>
    <t>Свердловськ</t>
  </si>
  <si>
    <t>Краснодонський</t>
  </si>
  <si>
    <t>Новоайдарський</t>
  </si>
  <si>
    <t>Ст-Луганський</t>
  </si>
  <si>
    <t>Лутугінський</t>
  </si>
  <si>
    <t>Попаснянський</t>
  </si>
  <si>
    <t>неком</t>
  </si>
  <si>
    <t>Біловодський</t>
  </si>
  <si>
    <t>Стаханів</t>
  </si>
  <si>
    <t>Перехід на поза-пікове  електро-опалення</t>
  </si>
  <si>
    <t>Встановлення когенераційних уста-новок</t>
  </si>
  <si>
    <t>Встановлення тепло-насосних уста-новок</t>
  </si>
  <si>
    <t>водовуг смесь</t>
  </si>
  <si>
    <t>дерев пелети</t>
  </si>
  <si>
    <t>Перевальский</t>
  </si>
  <si>
    <t>Сватівський</t>
  </si>
  <si>
    <t>Всього капітальні витрати</t>
  </si>
  <si>
    <t>Старобільский</t>
  </si>
  <si>
    <t>Заміна і модернізація котлів</t>
  </si>
  <si>
    <t>газогенератори</t>
  </si>
  <si>
    <t>твер паливо</t>
  </si>
  <si>
    <t>Капітальні витрати, всього, тис.грн</t>
  </si>
  <si>
    <t>Державний бюджет</t>
  </si>
  <si>
    <t>Місцевий бюджет</t>
  </si>
  <si>
    <t>Інші джерела</t>
  </si>
  <si>
    <t>Держбюджет разом, тис.грн</t>
  </si>
  <si>
    <t>Капітальні витрати разом, тис. грн</t>
  </si>
  <si>
    <t>місцевий бюджет, тис.грн</t>
  </si>
  <si>
    <t>інші, тис. грн</t>
  </si>
  <si>
    <t>Будівництво модульних котелень на твердому паливі</t>
  </si>
  <si>
    <t>Лисичанськ</t>
  </si>
  <si>
    <t>Міловський</t>
  </si>
  <si>
    <t>Будів-ництво блочно-модульних котелень на газі</t>
  </si>
  <si>
    <t xml:space="preserve">Переведення існуючих котелень на альтернативні види палива </t>
  </si>
  <si>
    <t>Реконструкція газових мереж</t>
  </si>
  <si>
    <t>Первомайськ</t>
  </si>
  <si>
    <t>Назва міст і районів області</t>
  </si>
  <si>
    <t>Індивідуальне опалення квартир (в т.ч. бюджетне кредитування)</t>
  </si>
  <si>
    <t>Слав'яносербський</t>
  </si>
  <si>
    <t>Заміна і модернізація котлів на вугіллі</t>
  </si>
  <si>
    <t>Управління  культури і туризму</t>
  </si>
  <si>
    <t>Управління освіти і науки</t>
  </si>
  <si>
    <t>Головного управління праці та соціального захисту населення</t>
  </si>
  <si>
    <t>Головного управління охорони здоров’я</t>
  </si>
  <si>
    <t>Управління  містобудування  та архітектури  облдержадміністрації</t>
  </si>
  <si>
    <t>Впровадження альтернативних джерел енергії та альтернативних видів палива</t>
  </si>
  <si>
    <t>Інші, тис.грн</t>
  </si>
  <si>
    <t>Всього капітальні витрати по області</t>
  </si>
  <si>
    <t>Оптимізація систем теплопостачання шляхом децентралізації</t>
  </si>
  <si>
    <t>Управління у справах сім’ї, молоді та спорту облдержадміністрації</t>
  </si>
  <si>
    <t>Назва міст, районів області та управлінь облдержадміністрації</t>
  </si>
  <si>
    <t xml:space="preserve">Заміна трубопроводів теплових мереж  на попередньо ізольовані  </t>
  </si>
  <si>
    <t>Заміна і модернізація  котлів, які працюють
 на газу</t>
  </si>
  <si>
    <t>Встановлення теплоутилізаційного
 обладнання</t>
  </si>
  <si>
    <t>Частотне регулювання
 електроспоживаючого
 обладнання і перетворювачі частоти</t>
  </si>
  <si>
    <t>Переобладнання котелень, які працюють на газу, з метою переведення їх
 на місцеві види твердого палива</t>
  </si>
  <si>
    <t>Встановлення газогенераторів</t>
  </si>
  <si>
    <t>Використання технологій когенерації і впровадження когенераційних установок</t>
  </si>
  <si>
    <t>Оснащення котелень підприємств
 комунальної теплоенергетики засобами
 обліку відпуску теплової енергії</t>
  </si>
  <si>
    <t xml:space="preserve">Оснащення житлових будинків засобами
 обліку та регулювання теплової енергії </t>
  </si>
  <si>
    <t>Проведення енергетичного аудиту на
 об'єктах соціальної сфери</t>
  </si>
  <si>
    <t xml:space="preserve">Капітальні витрати, разом, 
тис. грн
</t>
  </si>
  <si>
    <t>Держбюджет, разом, тис. грн</t>
  </si>
  <si>
    <t>Обласний бюджет, разом, тис. грн</t>
  </si>
  <si>
    <t>Місцевий бюджет, тис. Грн</t>
  </si>
  <si>
    <t>міста</t>
  </si>
  <si>
    <t>Рубіжне</t>
  </si>
  <si>
    <t>Стаханов</t>
  </si>
  <si>
    <t>райони</t>
  </si>
  <si>
    <t>Білокуракинський</t>
  </si>
  <si>
    <t>Кремінський</t>
  </si>
  <si>
    <t>Лутугинський</t>
  </si>
  <si>
    <t>Перевальський</t>
  </si>
  <si>
    <t>Слов'яносербський</t>
  </si>
  <si>
    <t>Старобільський</t>
  </si>
  <si>
    <t>Ст.-Луганський</t>
  </si>
  <si>
    <t>управління облдержадміністрації</t>
  </si>
  <si>
    <t>Управління освіти і науки  облдержадміністрації</t>
  </si>
  <si>
    <t>Головне управління охорони здоров’я  облдержадміністрації</t>
  </si>
  <si>
    <t xml:space="preserve">Головне управління праці та соціального захисту населення облдержадміністрації  </t>
  </si>
  <si>
    <t>Управління  культури і туризму облдержадміністрації</t>
  </si>
  <si>
    <t xml:space="preserve">
Всього капітальні витрати за напрямом
</t>
  </si>
  <si>
    <t>Встановлення блочно-модульних котелень на твердому паливі (пелетах)</t>
  </si>
  <si>
    <t>Використання сонячної енергії на об’єктах теплопостачання</t>
  </si>
  <si>
    <t>Впровадження теплонасосних установок</t>
  </si>
  <si>
    <t>Переведення існуючих котелень на
 альтернативні види палива (пелети)</t>
  </si>
  <si>
    <t>Індивідуальне опалення квартир</t>
  </si>
  <si>
    <t>всього</t>
  </si>
  <si>
    <t>місцевий бюджет, тис. грн</t>
  </si>
  <si>
    <t>обласний бюджет, тис. грн</t>
  </si>
  <si>
    <t>Реконструкція газових мереж, тис. грн</t>
  </si>
  <si>
    <t>Будів-ництво блочно-модульних котелень на газу, 
 тис. грн</t>
  </si>
  <si>
    <t>Впровадження Проектів по заміщенню природного газу нічним електропідігрівом, 
тис. грн</t>
  </si>
  <si>
    <t>Місцевий бюджет, тис. грн</t>
  </si>
  <si>
    <t>Модернізація та реконструкція систем  теплопостачання</t>
  </si>
  <si>
    <t>Обсяги фінансування робіт за Програмою по містах і районах області</t>
  </si>
  <si>
    <t>Капітальні витрати разом за всіма заходами, тис. грн</t>
  </si>
  <si>
    <t xml:space="preserve"> непільгової категорії громадян, тис. грн</t>
  </si>
  <si>
    <t>всього, тис. грн</t>
  </si>
  <si>
    <t>пільгової категорії громадян, тис. грн *</t>
  </si>
  <si>
    <t>За рахунок бюджетного кредитування, 
тис. грн</t>
  </si>
  <si>
    <t>Установка систем індивідуального  опалення в квартирах багатоповерхових житлових будинків за рахунок місцевих бюджетів та інших джерел фінансування, тис. грн</t>
  </si>
  <si>
    <t>Додаток 30</t>
  </si>
  <si>
    <t>до Регіональної програми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</si>
</sst>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\ _г_р_н_._-;\-* #,##0\ _г_р_н_._-;_-* &quot;-&quot;??\ _г_р_н_._-;_-@_-"/>
    <numFmt numFmtId="172" formatCode="0.000"/>
    <numFmt numFmtId="173" formatCode="0.0000"/>
  </numFmts>
  <fonts count="35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10">
    <xf numFmtId="0" fontId="0" fillId="0" borderId="0" xfId="0" applyAlignment="1">
      <alignment/>
    </xf>
    <xf numFmtId="165" fontId="1" fillId="0" borderId="10" xfId="0" applyNumberFormat="1" applyFont="1" applyBorder="1" applyAlignment="1">
      <alignment wrapText="1"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165" fontId="1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wrapText="1"/>
    </xf>
    <xf numFmtId="165" fontId="1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1" xfId="0" applyFont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7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0" xfId="0" applyNumberFormat="1" applyFont="1" applyAlignment="1">
      <alignment/>
    </xf>
    <xf numFmtId="0" fontId="8" fillId="0" borderId="31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1" fillId="0" borderId="33" xfId="0" applyNumberFormat="1" applyFont="1" applyBorder="1" applyAlignment="1">
      <alignment wrapText="1"/>
    </xf>
    <xf numFmtId="165" fontId="1" fillId="0" borderId="34" xfId="0" applyNumberFormat="1" applyFont="1" applyBorder="1" applyAlignment="1">
      <alignment wrapText="1"/>
    </xf>
    <xf numFmtId="165" fontId="1" fillId="0" borderId="44" xfId="0" applyNumberFormat="1" applyFont="1" applyBorder="1" applyAlignment="1">
      <alignment wrapText="1"/>
    </xf>
    <xf numFmtId="0" fontId="2" fillId="0" borderId="0" xfId="0" applyFont="1" applyAlignment="1">
      <alignment/>
    </xf>
    <xf numFmtId="165" fontId="1" fillId="0" borderId="50" xfId="0" applyNumberFormat="1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4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165" fontId="1" fillId="0" borderId="16" xfId="0" applyNumberFormat="1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5" fontId="1" fillId="0" borderId="17" xfId="0" applyNumberFormat="1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65" fontId="1" fillId="0" borderId="5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wrapText="1"/>
    </xf>
    <xf numFmtId="0" fontId="9" fillId="0" borderId="4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24" borderId="0" xfId="0" applyFont="1" applyFill="1" applyAlignment="1">
      <alignment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/>
    </xf>
    <xf numFmtId="165" fontId="1" fillId="0" borderId="53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8" fillId="0" borderId="16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2" fontId="8" fillId="0" borderId="17" xfId="0" applyNumberFormat="1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2" fontId="1" fillId="0" borderId="53" xfId="0" applyNumberFormat="1" applyFont="1" applyFill="1" applyBorder="1" applyAlignment="1">
      <alignment wrapText="1"/>
    </xf>
    <xf numFmtId="2" fontId="1" fillId="0" borderId="26" xfId="0" applyNumberFormat="1" applyFont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4" fillId="0" borderId="54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165" fontId="1" fillId="0" borderId="52" xfId="0" applyNumberFormat="1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2" fontId="1" fillId="0" borderId="52" xfId="0" applyNumberFormat="1" applyFont="1" applyFill="1" applyBorder="1" applyAlignment="1">
      <alignment wrapText="1"/>
    </xf>
    <xf numFmtId="2" fontId="1" fillId="0" borderId="21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52" xfId="0" applyFont="1" applyBorder="1" applyAlignment="1">
      <alignment wrapText="1"/>
    </xf>
    <xf numFmtId="0" fontId="1" fillId="0" borderId="53" xfId="0" applyFont="1" applyFill="1" applyBorder="1" applyAlignment="1">
      <alignment/>
    </xf>
    <xf numFmtId="0" fontId="33" fillId="0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0" fontId="32" fillId="0" borderId="53" xfId="0" applyFont="1" applyBorder="1" applyAlignment="1">
      <alignment wrapText="1"/>
    </xf>
    <xf numFmtId="0" fontId="32" fillId="0" borderId="53" xfId="0" applyFont="1" applyBorder="1" applyAlignment="1">
      <alignment/>
    </xf>
    <xf numFmtId="0" fontId="1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165" fontId="3" fillId="0" borderId="59" xfId="0" applyNumberFormat="1" applyFont="1" applyFill="1" applyBorder="1" applyAlignment="1">
      <alignment wrapText="1"/>
    </xf>
    <xf numFmtId="2" fontId="3" fillId="0" borderId="59" xfId="0" applyNumberFormat="1" applyFont="1" applyFill="1" applyBorder="1" applyAlignment="1">
      <alignment wrapText="1"/>
    </xf>
    <xf numFmtId="0" fontId="1" fillId="0" borderId="52" xfId="0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2" fontId="1" fillId="0" borderId="53" xfId="0" applyNumberFormat="1" applyFont="1" applyFill="1" applyBorder="1" applyAlignment="1">
      <alignment/>
    </xf>
    <xf numFmtId="0" fontId="12" fillId="0" borderId="60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wrapText="1"/>
    </xf>
    <xf numFmtId="0" fontId="11" fillId="0" borderId="53" xfId="0" applyFont="1" applyFill="1" applyBorder="1" applyAlignment="1">
      <alignment wrapText="1"/>
    </xf>
    <xf numFmtId="2" fontId="1" fillId="0" borderId="26" xfId="0" applyNumberFormat="1" applyFont="1" applyFill="1" applyBorder="1" applyAlignment="1">
      <alignment wrapText="1"/>
    </xf>
    <xf numFmtId="0" fontId="32" fillId="0" borderId="52" xfId="0" applyFont="1" applyFill="1" applyBorder="1" applyAlignment="1">
      <alignment wrapText="1"/>
    </xf>
    <xf numFmtId="0" fontId="11" fillId="0" borderId="52" xfId="0" applyFont="1" applyFill="1" applyBorder="1" applyAlignment="1">
      <alignment wrapText="1"/>
    </xf>
    <xf numFmtId="2" fontId="1" fillId="0" borderId="21" xfId="0" applyNumberFormat="1" applyFont="1" applyFill="1" applyBorder="1" applyAlignment="1">
      <alignment wrapText="1"/>
    </xf>
    <xf numFmtId="0" fontId="32" fillId="0" borderId="53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 wrapText="1"/>
    </xf>
    <xf numFmtId="2" fontId="3" fillId="0" borderId="40" xfId="0" applyNumberFormat="1" applyFont="1" applyFill="1" applyBorder="1" applyAlignment="1">
      <alignment wrapText="1"/>
    </xf>
    <xf numFmtId="2" fontId="1" fillId="0" borderId="52" xfId="0" applyNumberFormat="1" applyFont="1" applyFill="1" applyBorder="1" applyAlignment="1">
      <alignment horizontal="center" wrapText="1"/>
    </xf>
    <xf numFmtId="0" fontId="1" fillId="0" borderId="5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59" xfId="0" applyNumberFormat="1" applyFont="1" applyFill="1" applyBorder="1" applyAlignment="1">
      <alignment horizontal="center" wrapText="1"/>
    </xf>
    <xf numFmtId="2" fontId="1" fillId="0" borderId="61" xfId="0" applyNumberFormat="1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 shrinkToFit="1"/>
    </xf>
    <xf numFmtId="0" fontId="33" fillId="0" borderId="10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" fillId="0" borderId="59" xfId="0" applyNumberFormat="1" applyFont="1" applyFill="1" applyBorder="1" applyAlignment="1">
      <alignment horizontal="center" wrapText="1"/>
    </xf>
    <xf numFmtId="165" fontId="1" fillId="25" borderId="10" xfId="0" applyNumberFormat="1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2" fontId="1" fillId="25" borderId="10" xfId="0" applyNumberFormat="1" applyFont="1" applyFill="1" applyBorder="1" applyAlignment="1">
      <alignment wrapText="1"/>
    </xf>
    <xf numFmtId="2" fontId="3" fillId="0" borderId="61" xfId="0" applyNumberFormat="1" applyFont="1" applyFill="1" applyBorder="1" applyAlignment="1">
      <alignment wrapText="1"/>
    </xf>
    <xf numFmtId="2" fontId="3" fillId="0" borderId="41" xfId="0" applyNumberFormat="1" applyFont="1" applyFill="1" applyBorder="1" applyAlignment="1">
      <alignment wrapText="1"/>
    </xf>
    <xf numFmtId="165" fontId="3" fillId="0" borderId="62" xfId="0" applyNumberFormat="1" applyFont="1" applyFill="1" applyBorder="1" applyAlignment="1">
      <alignment horizontal="center" vertical="center" textRotation="90" wrapText="1"/>
    </xf>
    <xf numFmtId="165" fontId="3" fillId="0" borderId="55" xfId="0" applyNumberFormat="1" applyFont="1" applyFill="1" applyBorder="1" applyAlignment="1">
      <alignment horizontal="center" vertical="center" textRotation="90" wrapText="1"/>
    </xf>
    <xf numFmtId="165" fontId="3" fillId="0" borderId="59" xfId="0" applyNumberFormat="1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5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textRotation="90" wrapText="1" shrinkToFit="1"/>
    </xf>
    <xf numFmtId="0" fontId="3" fillId="0" borderId="55" xfId="0" applyFont="1" applyFill="1" applyBorder="1" applyAlignment="1">
      <alignment horizontal="center" vertical="center" textRotation="90" wrapText="1" shrinkToFit="1"/>
    </xf>
    <xf numFmtId="0" fontId="3" fillId="0" borderId="59" xfId="0" applyFont="1" applyFill="1" applyBorder="1" applyAlignment="1">
      <alignment horizontal="center" vertical="center" textRotation="90" wrapText="1" shrinkToFi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5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textRotation="90" wrapText="1"/>
    </xf>
    <xf numFmtId="165" fontId="3" fillId="0" borderId="52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53" xfId="0" applyNumberFormat="1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textRotation="90" wrapText="1"/>
    </xf>
    <xf numFmtId="0" fontId="33" fillId="0" borderId="73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textRotation="90" wrapText="1"/>
    </xf>
    <xf numFmtId="0" fontId="33" fillId="0" borderId="5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U47"/>
  <sheetViews>
    <sheetView view="pageBreakPreview" zoomScale="70" zoomScaleNormal="85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T34" sqref="T34"/>
    </sheetView>
  </sheetViews>
  <sheetFormatPr defaultColWidth="9.140625" defaultRowHeight="15"/>
  <cols>
    <col min="1" max="1" width="4.57421875" style="117" customWidth="1"/>
    <col min="2" max="2" width="18.00390625" style="117" customWidth="1"/>
    <col min="3" max="3" width="8.140625" style="117" hidden="1" customWidth="1"/>
    <col min="4" max="4" width="8.7109375" style="117" hidden="1" customWidth="1"/>
    <col min="5" max="6" width="9.28125" style="117" customWidth="1"/>
    <col min="7" max="7" width="9.421875" style="117" customWidth="1"/>
    <col min="8" max="8" width="7.28125" style="117" customWidth="1"/>
    <col min="9" max="9" width="7.7109375" style="117" customWidth="1"/>
    <col min="10" max="10" width="7.57421875" style="117" customWidth="1"/>
    <col min="11" max="11" width="8.57421875" style="117" customWidth="1"/>
    <col min="12" max="13" width="7.8515625" style="117" customWidth="1"/>
    <col min="14" max="15" width="9.421875" style="117" customWidth="1"/>
    <col min="16" max="16" width="13.8515625" style="117" customWidth="1"/>
    <col min="17" max="17" width="11.57421875" style="122" bestFit="1" customWidth="1"/>
    <col min="18" max="18" width="10.421875" style="122" bestFit="1" customWidth="1"/>
    <col min="19" max="19" width="9.421875" style="122" bestFit="1" customWidth="1"/>
    <col min="20" max="20" width="10.421875" style="122" bestFit="1" customWidth="1"/>
    <col min="21" max="21" width="13.421875" style="45" bestFit="1" customWidth="1"/>
    <col min="22" max="16384" width="9.140625" style="45" customWidth="1"/>
  </cols>
  <sheetData>
    <row r="1" spans="19:21" ht="15.75">
      <c r="S1" s="235" t="s">
        <v>129</v>
      </c>
      <c r="T1" s="235"/>
      <c r="U1" s="235"/>
    </row>
    <row r="2" spans="19:21" ht="15.75">
      <c r="S2" s="225" t="s">
        <v>130</v>
      </c>
      <c r="T2" s="225"/>
      <c r="U2" s="225"/>
    </row>
    <row r="3" spans="1:21" ht="18.75">
      <c r="A3" s="251" t="s">
        <v>122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ht="16.5" thickBot="1"/>
    <row r="5" spans="1:21" s="127" customFormat="1" ht="16.5" customHeight="1" thickBot="1">
      <c r="A5" s="223" t="s">
        <v>121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148"/>
    </row>
    <row r="6" spans="1:21" s="7" customFormat="1" ht="50.25" customHeight="1">
      <c r="A6" s="226" t="s">
        <v>0</v>
      </c>
      <c r="B6" s="232" t="s">
        <v>77</v>
      </c>
      <c r="C6" s="129" t="s">
        <v>24</v>
      </c>
      <c r="D6" s="129"/>
      <c r="E6" s="229" t="s">
        <v>79</v>
      </c>
      <c r="F6" s="232" t="s">
        <v>66</v>
      </c>
      <c r="G6" s="232" t="s">
        <v>78</v>
      </c>
      <c r="H6" s="232" t="s">
        <v>80</v>
      </c>
      <c r="I6" s="232" t="s">
        <v>81</v>
      </c>
      <c r="J6" s="252" t="s">
        <v>19</v>
      </c>
      <c r="K6" s="232" t="s">
        <v>82</v>
      </c>
      <c r="L6" s="232" t="s">
        <v>83</v>
      </c>
      <c r="M6" s="232" t="s">
        <v>84</v>
      </c>
      <c r="N6" s="232" t="s">
        <v>85</v>
      </c>
      <c r="O6" s="232" t="s">
        <v>86</v>
      </c>
      <c r="P6" s="232" t="s">
        <v>87</v>
      </c>
      <c r="Q6" s="232" t="s">
        <v>88</v>
      </c>
      <c r="R6" s="220" t="s">
        <v>89</v>
      </c>
      <c r="S6" s="220" t="s">
        <v>90</v>
      </c>
      <c r="T6" s="239" t="s">
        <v>91</v>
      </c>
      <c r="U6" s="236" t="s">
        <v>73</v>
      </c>
    </row>
    <row r="7" spans="1:21" s="7" customFormat="1" ht="108.75" customHeight="1">
      <c r="A7" s="227"/>
      <c r="B7" s="233"/>
      <c r="C7" s="150" t="s">
        <v>26</v>
      </c>
      <c r="D7" s="150" t="s">
        <v>33</v>
      </c>
      <c r="E7" s="230"/>
      <c r="F7" s="233"/>
      <c r="G7" s="233"/>
      <c r="H7" s="233"/>
      <c r="I7" s="233"/>
      <c r="J7" s="253"/>
      <c r="K7" s="233"/>
      <c r="L7" s="233"/>
      <c r="M7" s="233"/>
      <c r="N7" s="233"/>
      <c r="O7" s="233"/>
      <c r="P7" s="233"/>
      <c r="Q7" s="233"/>
      <c r="R7" s="221"/>
      <c r="S7" s="221"/>
      <c r="T7" s="240"/>
      <c r="U7" s="237"/>
    </row>
    <row r="8" spans="1:21" s="7" customFormat="1" ht="44.25" customHeight="1" thickBot="1">
      <c r="A8" s="228"/>
      <c r="B8" s="234"/>
      <c r="C8" s="151"/>
      <c r="D8" s="151"/>
      <c r="E8" s="231"/>
      <c r="F8" s="234"/>
      <c r="G8" s="234"/>
      <c r="H8" s="234"/>
      <c r="I8" s="234"/>
      <c r="J8" s="254"/>
      <c r="K8" s="234"/>
      <c r="L8" s="234"/>
      <c r="M8" s="234"/>
      <c r="N8" s="234"/>
      <c r="O8" s="234"/>
      <c r="P8" s="234"/>
      <c r="Q8" s="234"/>
      <c r="R8" s="222"/>
      <c r="S8" s="222"/>
      <c r="T8" s="241"/>
      <c r="U8" s="238"/>
    </row>
    <row r="9" spans="1:21" s="7" customFormat="1" ht="13.5" thickBot="1">
      <c r="A9" s="155">
        <v>1</v>
      </c>
      <c r="B9" s="156">
        <v>2</v>
      </c>
      <c r="C9" s="155">
        <v>3</v>
      </c>
      <c r="D9" s="156">
        <v>4</v>
      </c>
      <c r="E9" s="155">
        <v>3</v>
      </c>
      <c r="F9" s="156">
        <v>4</v>
      </c>
      <c r="G9" s="155">
        <v>5</v>
      </c>
      <c r="H9" s="156">
        <v>6</v>
      </c>
      <c r="I9" s="155">
        <v>7</v>
      </c>
      <c r="J9" s="156">
        <v>8</v>
      </c>
      <c r="K9" s="155">
        <v>9</v>
      </c>
      <c r="L9" s="156">
        <v>10</v>
      </c>
      <c r="M9" s="155">
        <v>11</v>
      </c>
      <c r="N9" s="156">
        <v>12</v>
      </c>
      <c r="O9" s="155">
        <v>13</v>
      </c>
      <c r="P9" s="156">
        <v>14</v>
      </c>
      <c r="Q9" s="155">
        <v>15</v>
      </c>
      <c r="R9" s="156">
        <v>16</v>
      </c>
      <c r="S9" s="155">
        <v>17</v>
      </c>
      <c r="T9" s="156">
        <v>18</v>
      </c>
      <c r="U9" s="157">
        <v>19</v>
      </c>
    </row>
    <row r="10" spans="1:21" ht="16.5" thickBot="1">
      <c r="A10" s="242" t="s">
        <v>92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</row>
    <row r="11" spans="1:21" s="33" customFormat="1" ht="15.75">
      <c r="A11" s="158">
        <v>1</v>
      </c>
      <c r="B11" s="165" t="s">
        <v>3</v>
      </c>
      <c r="C11" s="215">
        <v>2016.9</v>
      </c>
      <c r="D11" s="160"/>
      <c r="E11" s="159">
        <f>SUM(C11:D11)</f>
        <v>2016.9</v>
      </c>
      <c r="F11" s="159"/>
      <c r="G11" s="161">
        <v>30032</v>
      </c>
      <c r="H11" s="159">
        <v>1250</v>
      </c>
      <c r="I11" s="159">
        <v>1320</v>
      </c>
      <c r="J11" s="160"/>
      <c r="K11" s="160"/>
      <c r="L11" s="160"/>
      <c r="M11" s="160">
        <v>7735.2</v>
      </c>
      <c r="N11" s="160">
        <v>2240</v>
      </c>
      <c r="O11" s="160">
        <v>22600</v>
      </c>
      <c r="P11" s="160"/>
      <c r="Q11" s="159">
        <f aca="true" t="shared" si="0" ref="Q11:Q39">E11+F11+G11+H11+I11+J11+K11+L11+M11+N11+O11</f>
        <v>67194.1</v>
      </c>
      <c r="R11" s="159">
        <f aca="true" t="shared" si="1" ref="R11:R17">(E11+F11+G11+H11+I11+J11+K11+L11+M11+O11)/1.7</f>
        <v>38208.294117647056</v>
      </c>
      <c r="S11" s="161"/>
      <c r="T11" s="161">
        <f aca="true" t="shared" si="2" ref="T11:T39">(E11+F11+G11+H11+I11+J11+K11+L11+M11+N11+O11-R11)*0.4</f>
        <v>11594.32235294118</v>
      </c>
      <c r="U11" s="162">
        <f aca="true" t="shared" si="3" ref="U11:U39">(E11+F11+G11+H11+I11+J11+K11+L11+M11+N11+O11-R11)*0.6</f>
        <v>17391.48352941177</v>
      </c>
    </row>
    <row r="12" spans="1:21" s="33" customFormat="1" ht="15.75">
      <c r="A12" s="97">
        <f aca="true" t="shared" si="4" ref="A12:A24">A11+1</f>
        <v>2</v>
      </c>
      <c r="B12" s="163" t="s">
        <v>2</v>
      </c>
      <c r="C12" s="216">
        <v>1754.7</v>
      </c>
      <c r="D12" s="95"/>
      <c r="E12" s="103">
        <f>SUM(C12:D12)</f>
        <v>1754.7</v>
      </c>
      <c r="F12" s="103"/>
      <c r="G12" s="108">
        <v>21303</v>
      </c>
      <c r="H12" s="103">
        <v>1620</v>
      </c>
      <c r="I12" s="103">
        <v>700</v>
      </c>
      <c r="J12" s="95"/>
      <c r="K12" s="95"/>
      <c r="L12" s="95"/>
      <c r="M12" s="103">
        <v>5882</v>
      </c>
      <c r="N12" s="95">
        <v>9100</v>
      </c>
      <c r="O12" s="95">
        <v>13080</v>
      </c>
      <c r="P12" s="95"/>
      <c r="Q12" s="103">
        <f t="shared" si="0"/>
        <v>53439.7</v>
      </c>
      <c r="R12" s="103">
        <f t="shared" si="1"/>
        <v>26082.176470588234</v>
      </c>
      <c r="S12" s="108"/>
      <c r="T12" s="108">
        <f t="shared" si="2"/>
        <v>10943.009411764706</v>
      </c>
      <c r="U12" s="54">
        <f t="shared" si="3"/>
        <v>16414.514117647057</v>
      </c>
    </row>
    <row r="13" spans="1:21" s="33" customFormat="1" ht="15.75">
      <c r="A13" s="97">
        <f t="shared" si="4"/>
        <v>3</v>
      </c>
      <c r="B13" s="163" t="s">
        <v>6</v>
      </c>
      <c r="C13" s="217"/>
      <c r="D13" s="95">
        <v>730.5</v>
      </c>
      <c r="E13" s="103">
        <f>SUM(C13:D13)</f>
        <v>730.5</v>
      </c>
      <c r="F13" s="103"/>
      <c r="G13" s="108">
        <v>3091</v>
      </c>
      <c r="H13" s="103"/>
      <c r="I13" s="103">
        <v>280</v>
      </c>
      <c r="J13" s="95"/>
      <c r="K13" s="95"/>
      <c r="L13" s="95"/>
      <c r="M13" s="103"/>
      <c r="N13" s="95">
        <v>182.1</v>
      </c>
      <c r="O13" s="95"/>
      <c r="P13" s="95"/>
      <c r="Q13" s="103">
        <f t="shared" si="0"/>
        <v>4283.6</v>
      </c>
      <c r="R13" s="103">
        <f t="shared" si="1"/>
        <v>2412.6470588235293</v>
      </c>
      <c r="S13" s="108"/>
      <c r="T13" s="108">
        <f t="shared" si="2"/>
        <v>748.3811764705885</v>
      </c>
      <c r="U13" s="54">
        <f t="shared" si="3"/>
        <v>1122.5717647058825</v>
      </c>
    </row>
    <row r="14" spans="1:21" s="33" customFormat="1" ht="15.75">
      <c r="A14" s="97">
        <f t="shared" si="4"/>
        <v>4</v>
      </c>
      <c r="B14" s="163" t="s">
        <v>8</v>
      </c>
      <c r="C14" s="217"/>
      <c r="D14" s="103">
        <v>20</v>
      </c>
      <c r="E14" s="103">
        <f>SUM(C14:D14)</f>
        <v>20</v>
      </c>
      <c r="F14" s="103"/>
      <c r="G14" s="108"/>
      <c r="H14" s="103"/>
      <c r="I14" s="103"/>
      <c r="J14" s="95"/>
      <c r="K14" s="95"/>
      <c r="L14" s="95"/>
      <c r="M14" s="103"/>
      <c r="N14" s="95"/>
      <c r="O14" s="95"/>
      <c r="P14" s="95"/>
      <c r="Q14" s="103">
        <f t="shared" si="0"/>
        <v>20</v>
      </c>
      <c r="R14" s="103">
        <f t="shared" si="1"/>
        <v>11.764705882352942</v>
      </c>
      <c r="S14" s="108"/>
      <c r="T14" s="108">
        <f t="shared" si="2"/>
        <v>3.2941176470588234</v>
      </c>
      <c r="U14" s="54">
        <f t="shared" si="3"/>
        <v>4.941176470588235</v>
      </c>
    </row>
    <row r="15" spans="1:21" s="33" customFormat="1" ht="15.75">
      <c r="A15" s="97">
        <f t="shared" si="4"/>
        <v>5</v>
      </c>
      <c r="B15" s="163" t="s">
        <v>9</v>
      </c>
      <c r="C15" s="217"/>
      <c r="D15" s="95"/>
      <c r="E15" s="103"/>
      <c r="F15" s="103"/>
      <c r="G15" s="108"/>
      <c r="H15" s="103"/>
      <c r="I15" s="103"/>
      <c r="J15" s="95"/>
      <c r="K15" s="95"/>
      <c r="L15" s="95"/>
      <c r="M15" s="103"/>
      <c r="N15" s="95"/>
      <c r="O15" s="95"/>
      <c r="P15" s="95"/>
      <c r="Q15" s="103">
        <f t="shared" si="0"/>
        <v>0</v>
      </c>
      <c r="R15" s="103">
        <f t="shared" si="1"/>
        <v>0</v>
      </c>
      <c r="S15" s="108"/>
      <c r="T15" s="108">
        <f t="shared" si="2"/>
        <v>0</v>
      </c>
      <c r="U15" s="54">
        <f t="shared" si="3"/>
        <v>0</v>
      </c>
    </row>
    <row r="16" spans="1:21" s="33" customFormat="1" ht="15.75">
      <c r="A16" s="97">
        <f t="shared" si="4"/>
        <v>6</v>
      </c>
      <c r="B16" s="163" t="s">
        <v>7</v>
      </c>
      <c r="C16" s="217"/>
      <c r="D16" s="95">
        <v>547.3</v>
      </c>
      <c r="E16" s="103">
        <f aca="true" t="shared" si="5" ref="E16:E22">SUM(C16:D16)</f>
        <v>547.3</v>
      </c>
      <c r="F16" s="103"/>
      <c r="G16" s="108"/>
      <c r="H16" s="103"/>
      <c r="I16" s="103"/>
      <c r="J16" s="95"/>
      <c r="K16" s="95"/>
      <c r="L16" s="95"/>
      <c r="M16" s="103"/>
      <c r="N16" s="95"/>
      <c r="O16" s="95"/>
      <c r="P16" s="95"/>
      <c r="Q16" s="103">
        <f t="shared" si="0"/>
        <v>547.3</v>
      </c>
      <c r="R16" s="103">
        <f t="shared" si="1"/>
        <v>321.94117647058823</v>
      </c>
      <c r="S16" s="108"/>
      <c r="T16" s="108">
        <f t="shared" si="2"/>
        <v>90.14352941176469</v>
      </c>
      <c r="U16" s="54">
        <f t="shared" si="3"/>
        <v>135.21529411764703</v>
      </c>
    </row>
    <row r="17" spans="1:21" s="33" customFormat="1" ht="15.75">
      <c r="A17" s="97">
        <f t="shared" si="4"/>
        <v>7</v>
      </c>
      <c r="B17" s="163" t="s">
        <v>57</v>
      </c>
      <c r="C17" s="217">
        <v>10880.5</v>
      </c>
      <c r="D17" s="95"/>
      <c r="E17" s="103">
        <f t="shared" si="5"/>
        <v>10880.5</v>
      </c>
      <c r="F17" s="103"/>
      <c r="G17" s="108">
        <v>87744.5</v>
      </c>
      <c r="H17" s="103">
        <v>440</v>
      </c>
      <c r="I17" s="103">
        <v>402</v>
      </c>
      <c r="J17" s="103">
        <v>967</v>
      </c>
      <c r="K17" s="95">
        <v>37970</v>
      </c>
      <c r="L17" s="95">
        <v>4550</v>
      </c>
      <c r="M17" s="103">
        <f>8687+34902</f>
        <v>43589</v>
      </c>
      <c r="N17" s="95">
        <v>1920</v>
      </c>
      <c r="O17" s="95">
        <v>14480</v>
      </c>
      <c r="P17" s="95"/>
      <c r="Q17" s="103">
        <f t="shared" si="0"/>
        <v>202943</v>
      </c>
      <c r="R17" s="103">
        <f t="shared" si="1"/>
        <v>118248.82352941176</v>
      </c>
      <c r="S17" s="108"/>
      <c r="T17" s="108">
        <f t="shared" si="2"/>
        <v>33877.6705882353</v>
      </c>
      <c r="U17" s="54">
        <f t="shared" si="3"/>
        <v>50816.50588235294</v>
      </c>
    </row>
    <row r="18" spans="1:21" s="135" customFormat="1" ht="15.75">
      <c r="A18" s="138">
        <f t="shared" si="4"/>
        <v>8</v>
      </c>
      <c r="B18" s="163" t="s">
        <v>1</v>
      </c>
      <c r="C18" s="217">
        <v>90481.4</v>
      </c>
      <c r="D18" s="133"/>
      <c r="E18" s="133">
        <f t="shared" si="5"/>
        <v>90481.4</v>
      </c>
      <c r="F18" s="133"/>
      <c r="G18" s="134">
        <v>114535.7</v>
      </c>
      <c r="H18" s="132"/>
      <c r="I18" s="133">
        <v>5400</v>
      </c>
      <c r="J18" s="133">
        <v>2761.7</v>
      </c>
      <c r="K18" s="132"/>
      <c r="L18" s="132">
        <v>22730</v>
      </c>
      <c r="M18" s="133">
        <f>661+11200</f>
        <v>11861</v>
      </c>
      <c r="N18" s="132">
        <v>5310</v>
      </c>
      <c r="O18" s="132">
        <v>58200</v>
      </c>
      <c r="P18" s="132"/>
      <c r="Q18" s="133">
        <f t="shared" si="0"/>
        <v>311279.8</v>
      </c>
      <c r="R18" s="133">
        <f>(E18+F18+G18+H18+I18+J18+K18+L18+M18+O18)/2</f>
        <v>152984.9</v>
      </c>
      <c r="S18" s="134"/>
      <c r="T18" s="134">
        <f t="shared" si="2"/>
        <v>63317.96</v>
      </c>
      <c r="U18" s="140">
        <f t="shared" si="3"/>
        <v>94976.93999999999</v>
      </c>
    </row>
    <row r="19" spans="1:21" s="33" customFormat="1" ht="15.75">
      <c r="A19" s="97">
        <f t="shared" si="4"/>
        <v>9</v>
      </c>
      <c r="B19" s="163" t="s">
        <v>62</v>
      </c>
      <c r="C19" s="217">
        <v>4038.3</v>
      </c>
      <c r="D19" s="95"/>
      <c r="E19" s="103">
        <f t="shared" si="5"/>
        <v>4038.3</v>
      </c>
      <c r="F19" s="103"/>
      <c r="G19" s="108">
        <v>7244.5</v>
      </c>
      <c r="H19" s="95"/>
      <c r="I19" s="103"/>
      <c r="J19" s="103"/>
      <c r="K19" s="95"/>
      <c r="L19" s="95"/>
      <c r="M19" s="95"/>
      <c r="N19" s="95">
        <v>1828</v>
      </c>
      <c r="O19" s="95">
        <v>5960</v>
      </c>
      <c r="P19" s="95"/>
      <c r="Q19" s="103">
        <f t="shared" si="0"/>
        <v>19070.8</v>
      </c>
      <c r="R19" s="103">
        <f aca="true" t="shared" si="6" ref="R19:R24">(E19+F19+G19+H19+I19+J19+K19+L19+M19+O19)/1.7</f>
        <v>10142.823529411764</v>
      </c>
      <c r="S19" s="108"/>
      <c r="T19" s="108">
        <f t="shared" si="2"/>
        <v>3571.1905882352944</v>
      </c>
      <c r="U19" s="54">
        <f t="shared" si="3"/>
        <v>5356.785882352941</v>
      </c>
    </row>
    <row r="20" spans="1:21" s="33" customFormat="1" ht="15.75">
      <c r="A20" s="97">
        <f t="shared" si="4"/>
        <v>10</v>
      </c>
      <c r="B20" s="163" t="s">
        <v>5</v>
      </c>
      <c r="C20" s="217">
        <v>1523.2</v>
      </c>
      <c r="D20" s="103">
        <v>13980.5</v>
      </c>
      <c r="E20" s="103">
        <f t="shared" si="5"/>
        <v>15503.7</v>
      </c>
      <c r="F20" s="103"/>
      <c r="G20" s="108">
        <v>6127.5</v>
      </c>
      <c r="H20" s="95"/>
      <c r="I20" s="103"/>
      <c r="J20" s="103"/>
      <c r="K20" s="95"/>
      <c r="L20" s="95"/>
      <c r="M20" s="95"/>
      <c r="N20" s="95">
        <v>345</v>
      </c>
      <c r="O20" s="95">
        <v>4360</v>
      </c>
      <c r="P20" s="95"/>
      <c r="Q20" s="103">
        <f t="shared" si="0"/>
        <v>26336.2</v>
      </c>
      <c r="R20" s="103">
        <f t="shared" si="6"/>
        <v>15288.94117647059</v>
      </c>
      <c r="S20" s="108"/>
      <c r="T20" s="108">
        <f t="shared" si="2"/>
        <v>4418.903529411765</v>
      </c>
      <c r="U20" s="54">
        <f t="shared" si="3"/>
        <v>6628.355294117647</v>
      </c>
    </row>
    <row r="21" spans="1:21" s="33" customFormat="1" ht="15.75">
      <c r="A21" s="97">
        <f t="shared" si="4"/>
        <v>11</v>
      </c>
      <c r="B21" s="163" t="s">
        <v>93</v>
      </c>
      <c r="C21" s="217">
        <v>4686.7</v>
      </c>
      <c r="D21" s="103">
        <v>443.4</v>
      </c>
      <c r="E21" s="103">
        <f t="shared" si="5"/>
        <v>5130.099999999999</v>
      </c>
      <c r="F21" s="103"/>
      <c r="G21" s="108">
        <v>6433.5</v>
      </c>
      <c r="H21" s="95"/>
      <c r="I21" s="103">
        <v>5200</v>
      </c>
      <c r="J21" s="103">
        <v>930</v>
      </c>
      <c r="K21" s="95">
        <v>2730</v>
      </c>
      <c r="L21" s="95">
        <v>800</v>
      </c>
      <c r="M21" s="95"/>
      <c r="N21" s="95">
        <v>1171</v>
      </c>
      <c r="O21" s="95">
        <v>14760</v>
      </c>
      <c r="P21" s="95"/>
      <c r="Q21" s="103">
        <f t="shared" si="0"/>
        <v>37154.6</v>
      </c>
      <c r="R21" s="103">
        <f t="shared" si="6"/>
        <v>21166.823529411766</v>
      </c>
      <c r="S21" s="108"/>
      <c r="T21" s="108">
        <f t="shared" si="2"/>
        <v>6395.110588235293</v>
      </c>
      <c r="U21" s="54">
        <f t="shared" si="3"/>
        <v>9592.66588235294</v>
      </c>
    </row>
    <row r="22" spans="1:21" s="33" customFormat="1" ht="15.75">
      <c r="A22" s="97">
        <f t="shared" si="4"/>
        <v>12</v>
      </c>
      <c r="B22" s="163" t="s">
        <v>27</v>
      </c>
      <c r="C22" s="95"/>
      <c r="D22" s="95">
        <v>2183.9</v>
      </c>
      <c r="E22" s="103">
        <f t="shared" si="5"/>
        <v>2183.9</v>
      </c>
      <c r="F22" s="103"/>
      <c r="G22" s="108"/>
      <c r="H22" s="95"/>
      <c r="I22" s="103"/>
      <c r="J22" s="103"/>
      <c r="K22" s="95"/>
      <c r="L22" s="95"/>
      <c r="M22" s="95"/>
      <c r="N22" s="95"/>
      <c r="O22" s="95"/>
      <c r="P22" s="95"/>
      <c r="Q22" s="103">
        <f t="shared" si="0"/>
        <v>2183.9</v>
      </c>
      <c r="R22" s="103">
        <f t="shared" si="6"/>
        <v>1284.6470588235295</v>
      </c>
      <c r="S22" s="108"/>
      <c r="T22" s="108">
        <f t="shared" si="2"/>
        <v>359.7011764705883</v>
      </c>
      <c r="U22" s="54">
        <f t="shared" si="3"/>
        <v>539.5517647058823</v>
      </c>
    </row>
    <row r="23" spans="1:21" s="33" customFormat="1" ht="15.75">
      <c r="A23" s="97">
        <f t="shared" si="4"/>
        <v>13</v>
      </c>
      <c r="B23" s="163" t="s">
        <v>10</v>
      </c>
      <c r="C23" s="95"/>
      <c r="D23" s="95"/>
      <c r="E23" s="103"/>
      <c r="F23" s="103"/>
      <c r="G23" s="108">
        <v>27428.9</v>
      </c>
      <c r="H23" s="95"/>
      <c r="I23" s="103">
        <v>900</v>
      </c>
      <c r="J23" s="103"/>
      <c r="K23" s="95">
        <v>16000</v>
      </c>
      <c r="L23" s="95"/>
      <c r="M23" s="95">
        <f>6665.7*2</f>
        <v>13331.4</v>
      </c>
      <c r="N23" s="95">
        <v>185</v>
      </c>
      <c r="O23" s="95">
        <v>25520</v>
      </c>
      <c r="P23" s="95"/>
      <c r="Q23" s="103">
        <f t="shared" si="0"/>
        <v>83365.3</v>
      </c>
      <c r="R23" s="103">
        <f t="shared" si="6"/>
        <v>48929.58823529412</v>
      </c>
      <c r="S23" s="108"/>
      <c r="T23" s="108">
        <f t="shared" si="2"/>
        <v>13774.284705882354</v>
      </c>
      <c r="U23" s="54">
        <f t="shared" si="3"/>
        <v>20661.42705882353</v>
      </c>
    </row>
    <row r="24" spans="1:21" s="33" customFormat="1" ht="16.5" thickBot="1">
      <c r="A24" s="141">
        <f t="shared" si="4"/>
        <v>14</v>
      </c>
      <c r="B24" s="177" t="s">
        <v>94</v>
      </c>
      <c r="C24" s="142"/>
      <c r="D24" s="142"/>
      <c r="E24" s="131"/>
      <c r="F24" s="131"/>
      <c r="G24" s="142"/>
      <c r="H24" s="142"/>
      <c r="I24" s="142"/>
      <c r="J24" s="142"/>
      <c r="K24" s="142"/>
      <c r="L24" s="142">
        <v>9100</v>
      </c>
      <c r="M24" s="142"/>
      <c r="N24" s="142">
        <v>356.2</v>
      </c>
      <c r="O24" s="142"/>
      <c r="P24" s="142"/>
      <c r="Q24" s="131">
        <f t="shared" si="0"/>
        <v>9456.2</v>
      </c>
      <c r="R24" s="131">
        <f t="shared" si="6"/>
        <v>5352.941176470588</v>
      </c>
      <c r="S24" s="143"/>
      <c r="T24" s="143">
        <f t="shared" si="2"/>
        <v>1641.303529411765</v>
      </c>
      <c r="U24" s="144">
        <f t="shared" si="3"/>
        <v>2461.9552941176476</v>
      </c>
    </row>
    <row r="25" spans="1:21" s="33" customFormat="1" ht="16.5" thickBot="1">
      <c r="A25" s="245" t="s">
        <v>95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7"/>
    </row>
    <row r="26" spans="1:21" s="33" customFormat="1" ht="17.25" customHeight="1">
      <c r="A26" s="158">
        <v>1</v>
      </c>
      <c r="B26" s="165" t="s">
        <v>14</v>
      </c>
      <c r="C26" s="160"/>
      <c r="D26" s="160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59">
        <f t="shared" si="0"/>
        <v>0</v>
      </c>
      <c r="R26" s="159">
        <f aca="true" t="shared" si="7" ref="R26:R39">(E26+F26+G26+H26+I26+J26+K26+L26+M26+O26)/1.2</f>
        <v>0</v>
      </c>
      <c r="S26" s="161"/>
      <c r="T26" s="161">
        <f t="shared" si="2"/>
        <v>0</v>
      </c>
      <c r="U26" s="162">
        <f t="shared" si="3"/>
        <v>0</v>
      </c>
    </row>
    <row r="27" spans="1:21" s="33" customFormat="1" ht="15.75">
      <c r="A27" s="97">
        <v>2</v>
      </c>
      <c r="B27" s="164" t="s">
        <v>34</v>
      </c>
      <c r="C27" s="95">
        <v>47.7</v>
      </c>
      <c r="D27" s="95"/>
      <c r="E27" s="103">
        <f>SUM(C27:D27)</f>
        <v>47.7</v>
      </c>
      <c r="F27" s="103"/>
      <c r="G27" s="95">
        <v>727.1</v>
      </c>
      <c r="H27" s="95"/>
      <c r="I27" s="95"/>
      <c r="J27" s="95"/>
      <c r="K27" s="95"/>
      <c r="L27" s="95"/>
      <c r="M27" s="95"/>
      <c r="N27" s="95">
        <v>68.7</v>
      </c>
      <c r="O27" s="95"/>
      <c r="P27" s="95"/>
      <c r="Q27" s="103">
        <f t="shared" si="0"/>
        <v>843.5000000000001</v>
      </c>
      <c r="R27" s="103">
        <f t="shared" si="7"/>
        <v>645.6666666666667</v>
      </c>
      <c r="S27" s="108"/>
      <c r="T27" s="108">
        <f t="shared" si="2"/>
        <v>79.13333333333335</v>
      </c>
      <c r="U27" s="54">
        <f t="shared" si="3"/>
        <v>118.70000000000002</v>
      </c>
    </row>
    <row r="28" spans="1:21" ht="15.75">
      <c r="A28" s="97">
        <v>3</v>
      </c>
      <c r="B28" s="164" t="s">
        <v>96</v>
      </c>
      <c r="C28" s="119"/>
      <c r="D28" s="119">
        <v>624.7</v>
      </c>
      <c r="E28" s="103">
        <f>SUM(C28:D28)</f>
        <v>624.7</v>
      </c>
      <c r="F28" s="103"/>
      <c r="G28" s="119"/>
      <c r="H28" s="95"/>
      <c r="I28" s="119"/>
      <c r="J28" s="119"/>
      <c r="K28" s="119"/>
      <c r="L28" s="119"/>
      <c r="M28" s="119"/>
      <c r="N28" s="119"/>
      <c r="O28" s="119"/>
      <c r="P28" s="119"/>
      <c r="Q28" s="103">
        <f t="shared" si="0"/>
        <v>624.7</v>
      </c>
      <c r="R28" s="103">
        <f t="shared" si="7"/>
        <v>520.5833333333334</v>
      </c>
      <c r="S28" s="108"/>
      <c r="T28" s="108">
        <f t="shared" si="2"/>
        <v>41.646666666666675</v>
      </c>
      <c r="U28" s="54">
        <f t="shared" si="3"/>
        <v>62.47</v>
      </c>
    </row>
    <row r="29" spans="1:21" ht="15.75">
      <c r="A29" s="97">
        <v>4</v>
      </c>
      <c r="B29" s="164" t="s">
        <v>28</v>
      </c>
      <c r="C29" s="119"/>
      <c r="D29" s="119">
        <v>1045.2</v>
      </c>
      <c r="E29" s="103">
        <f>SUM(C29:D29)</f>
        <v>1045.2</v>
      </c>
      <c r="F29" s="103"/>
      <c r="G29" s="119"/>
      <c r="H29" s="95"/>
      <c r="I29" s="119"/>
      <c r="J29" s="119"/>
      <c r="K29" s="119"/>
      <c r="L29" s="119"/>
      <c r="M29" s="119"/>
      <c r="N29" s="119"/>
      <c r="O29" s="119"/>
      <c r="P29" s="119"/>
      <c r="Q29" s="103">
        <f t="shared" si="0"/>
        <v>1045.2</v>
      </c>
      <c r="R29" s="103">
        <f t="shared" si="7"/>
        <v>871.0000000000001</v>
      </c>
      <c r="S29" s="108"/>
      <c r="T29" s="108">
        <f t="shared" si="2"/>
        <v>69.67999999999998</v>
      </c>
      <c r="U29" s="54">
        <f t="shared" si="3"/>
        <v>104.51999999999995</v>
      </c>
    </row>
    <row r="30" spans="1:21" s="33" customFormat="1" ht="15.75">
      <c r="A30" s="97">
        <v>5</v>
      </c>
      <c r="B30" s="163" t="s">
        <v>97</v>
      </c>
      <c r="C30" s="95">
        <v>2035.7</v>
      </c>
      <c r="D30" s="95"/>
      <c r="E30" s="103">
        <f>SUM(C30:D30)</f>
        <v>2035.7</v>
      </c>
      <c r="F30" s="103"/>
      <c r="G30" s="95">
        <v>343.7</v>
      </c>
      <c r="H30" s="95"/>
      <c r="I30" s="95"/>
      <c r="J30" s="95"/>
      <c r="K30" s="95"/>
      <c r="L30" s="95"/>
      <c r="M30" s="95"/>
      <c r="N30" s="95">
        <v>419.3</v>
      </c>
      <c r="O30" s="95">
        <v>2800</v>
      </c>
      <c r="P30" s="95"/>
      <c r="Q30" s="103">
        <f t="shared" si="0"/>
        <v>5598.700000000001</v>
      </c>
      <c r="R30" s="103">
        <f t="shared" si="7"/>
        <v>4316.166666666667</v>
      </c>
      <c r="S30" s="108"/>
      <c r="T30" s="108">
        <f t="shared" si="2"/>
        <v>513.0133333333335</v>
      </c>
      <c r="U30" s="54">
        <f t="shared" si="3"/>
        <v>769.5200000000002</v>
      </c>
    </row>
    <row r="31" spans="1:21" s="33" customFormat="1" ht="15.75">
      <c r="A31" s="97">
        <v>6</v>
      </c>
      <c r="B31" s="163" t="s">
        <v>98</v>
      </c>
      <c r="C31" s="95"/>
      <c r="D31" s="95">
        <v>612.7</v>
      </c>
      <c r="E31" s="103">
        <f>SUM(C31:D31)</f>
        <v>612.7</v>
      </c>
      <c r="F31" s="103"/>
      <c r="G31" s="95"/>
      <c r="H31" s="95"/>
      <c r="I31" s="95"/>
      <c r="J31" s="95"/>
      <c r="K31" s="95"/>
      <c r="L31" s="95"/>
      <c r="M31" s="95"/>
      <c r="N31" s="95">
        <v>82</v>
      </c>
      <c r="O31" s="95"/>
      <c r="P31" s="95"/>
      <c r="Q31" s="103">
        <f t="shared" si="0"/>
        <v>694.7</v>
      </c>
      <c r="R31" s="103">
        <f t="shared" si="7"/>
        <v>510.58333333333337</v>
      </c>
      <c r="S31" s="108"/>
      <c r="T31" s="108">
        <f t="shared" si="2"/>
        <v>73.64666666666668</v>
      </c>
      <c r="U31" s="54">
        <f t="shared" si="3"/>
        <v>110.47</v>
      </c>
    </row>
    <row r="32" spans="1:21" ht="15.75">
      <c r="A32" s="97">
        <v>7</v>
      </c>
      <c r="B32" s="164" t="s">
        <v>58</v>
      </c>
      <c r="C32" s="119"/>
      <c r="D32" s="119"/>
      <c r="E32" s="103"/>
      <c r="F32" s="103"/>
      <c r="G32" s="119"/>
      <c r="H32" s="95"/>
      <c r="I32" s="119"/>
      <c r="J32" s="119"/>
      <c r="K32" s="119"/>
      <c r="L32" s="119"/>
      <c r="M32" s="119"/>
      <c r="N32" s="119"/>
      <c r="O32" s="119"/>
      <c r="P32" s="119"/>
      <c r="Q32" s="103">
        <f t="shared" si="0"/>
        <v>0</v>
      </c>
      <c r="R32" s="103">
        <f t="shared" si="7"/>
        <v>0</v>
      </c>
      <c r="S32" s="108"/>
      <c r="T32" s="108">
        <f t="shared" si="2"/>
        <v>0</v>
      </c>
      <c r="U32" s="54">
        <f t="shared" si="3"/>
        <v>0</v>
      </c>
    </row>
    <row r="33" spans="1:21" ht="15.75">
      <c r="A33" s="97">
        <v>8</v>
      </c>
      <c r="B33" s="164" t="s">
        <v>29</v>
      </c>
      <c r="C33" s="119"/>
      <c r="D33" s="119">
        <v>352.9</v>
      </c>
      <c r="E33" s="103">
        <f>SUM(C33:D33)</f>
        <v>352.9</v>
      </c>
      <c r="F33" s="103"/>
      <c r="G33" s="119"/>
      <c r="H33" s="95"/>
      <c r="I33" s="119"/>
      <c r="J33" s="119"/>
      <c r="K33" s="119"/>
      <c r="L33" s="119"/>
      <c r="M33" s="119"/>
      <c r="N33" s="119"/>
      <c r="O33" s="119"/>
      <c r="P33" s="119"/>
      <c r="Q33" s="103">
        <f t="shared" si="0"/>
        <v>352.9</v>
      </c>
      <c r="R33" s="103">
        <f t="shared" si="7"/>
        <v>294.0833333333333</v>
      </c>
      <c r="S33" s="108"/>
      <c r="T33" s="108">
        <f t="shared" si="2"/>
        <v>23.526666666666667</v>
      </c>
      <c r="U33" s="54">
        <f t="shared" si="3"/>
        <v>35.29</v>
      </c>
    </row>
    <row r="34" spans="1:21" ht="15.75">
      <c r="A34" s="97">
        <v>9</v>
      </c>
      <c r="B34" s="164" t="s">
        <v>99</v>
      </c>
      <c r="C34" s="119"/>
      <c r="D34" s="119"/>
      <c r="E34" s="103"/>
      <c r="F34" s="103"/>
      <c r="G34" s="119"/>
      <c r="H34" s="95"/>
      <c r="I34" s="119"/>
      <c r="J34" s="119"/>
      <c r="K34" s="119"/>
      <c r="L34" s="119"/>
      <c r="M34" s="119"/>
      <c r="N34" s="119"/>
      <c r="O34" s="119"/>
      <c r="P34" s="119"/>
      <c r="Q34" s="103">
        <f t="shared" si="0"/>
        <v>0</v>
      </c>
      <c r="R34" s="103">
        <f t="shared" si="7"/>
        <v>0</v>
      </c>
      <c r="S34" s="108"/>
      <c r="T34" s="108">
        <f t="shared" si="2"/>
        <v>0</v>
      </c>
      <c r="U34" s="54">
        <f t="shared" si="3"/>
        <v>0</v>
      </c>
    </row>
    <row r="35" spans="1:21" ht="15.75">
      <c r="A35" s="97">
        <v>10</v>
      </c>
      <c r="B35" s="164" t="s">
        <v>32</v>
      </c>
      <c r="C35" s="119">
        <v>1053.8</v>
      </c>
      <c r="D35" s="119">
        <v>17.6</v>
      </c>
      <c r="E35" s="103">
        <f>SUM(C35:D35)</f>
        <v>1071.3999999999999</v>
      </c>
      <c r="F35" s="103"/>
      <c r="G35" s="119"/>
      <c r="H35" s="95"/>
      <c r="I35" s="119"/>
      <c r="J35" s="119"/>
      <c r="K35" s="119"/>
      <c r="L35" s="119"/>
      <c r="M35" s="119"/>
      <c r="N35" s="119">
        <v>574</v>
      </c>
      <c r="O35" s="119"/>
      <c r="P35" s="119"/>
      <c r="Q35" s="103">
        <f t="shared" si="0"/>
        <v>1645.3999999999999</v>
      </c>
      <c r="R35" s="103">
        <f t="shared" si="7"/>
        <v>892.8333333333333</v>
      </c>
      <c r="S35" s="108"/>
      <c r="T35" s="108">
        <f t="shared" si="2"/>
        <v>301.02666666666664</v>
      </c>
      <c r="U35" s="54">
        <f t="shared" si="3"/>
        <v>451.53999999999996</v>
      </c>
    </row>
    <row r="36" spans="1:21" ht="15.75">
      <c r="A36" s="97">
        <v>11</v>
      </c>
      <c r="B36" s="164" t="s">
        <v>42</v>
      </c>
      <c r="C36" s="119"/>
      <c r="D36" s="119"/>
      <c r="E36" s="103"/>
      <c r="F36" s="103"/>
      <c r="G36" s="119"/>
      <c r="H36" s="95"/>
      <c r="I36" s="119"/>
      <c r="J36" s="119"/>
      <c r="K36" s="119"/>
      <c r="L36" s="119"/>
      <c r="M36" s="119"/>
      <c r="N36" s="119"/>
      <c r="O36" s="119"/>
      <c r="P36" s="119"/>
      <c r="Q36" s="103">
        <f t="shared" si="0"/>
        <v>0</v>
      </c>
      <c r="R36" s="103">
        <f t="shared" si="7"/>
        <v>0</v>
      </c>
      <c r="S36" s="108"/>
      <c r="T36" s="108">
        <f t="shared" si="2"/>
        <v>0</v>
      </c>
      <c r="U36" s="54">
        <f t="shared" si="3"/>
        <v>0</v>
      </c>
    </row>
    <row r="37" spans="1:21" ht="15.75">
      <c r="A37" s="97">
        <v>12</v>
      </c>
      <c r="B37" s="163" t="s">
        <v>100</v>
      </c>
      <c r="C37" s="118"/>
      <c r="D37" s="118"/>
      <c r="E37" s="118"/>
      <c r="F37" s="103"/>
      <c r="G37" s="119"/>
      <c r="H37" s="95"/>
      <c r="I37" s="119"/>
      <c r="J37" s="119"/>
      <c r="K37" s="119"/>
      <c r="L37" s="119"/>
      <c r="M37" s="119"/>
      <c r="N37" s="119"/>
      <c r="O37" s="119"/>
      <c r="P37" s="119"/>
      <c r="Q37" s="103">
        <f t="shared" si="0"/>
        <v>0</v>
      </c>
      <c r="R37" s="103">
        <f t="shared" si="7"/>
        <v>0</v>
      </c>
      <c r="S37" s="108"/>
      <c r="T37" s="108">
        <f t="shared" si="2"/>
        <v>0</v>
      </c>
      <c r="U37" s="54">
        <f t="shared" si="3"/>
        <v>0</v>
      </c>
    </row>
    <row r="38" spans="1:21" ht="15.75">
      <c r="A38" s="97">
        <v>13</v>
      </c>
      <c r="B38" s="164" t="s">
        <v>101</v>
      </c>
      <c r="C38" s="119"/>
      <c r="D38" s="119"/>
      <c r="E38" s="103"/>
      <c r="F38" s="103"/>
      <c r="G38" s="119">
        <v>581.2</v>
      </c>
      <c r="H38" s="95"/>
      <c r="I38" s="119"/>
      <c r="J38" s="119">
        <v>918</v>
      </c>
      <c r="K38" s="119"/>
      <c r="L38" s="119"/>
      <c r="M38" s="119"/>
      <c r="N38" s="119">
        <v>385</v>
      </c>
      <c r="O38" s="119"/>
      <c r="P38" s="119"/>
      <c r="Q38" s="103">
        <f t="shared" si="0"/>
        <v>1884.2</v>
      </c>
      <c r="R38" s="103">
        <f t="shared" si="7"/>
        <v>1249.3333333333335</v>
      </c>
      <c r="S38" s="108"/>
      <c r="T38" s="108">
        <f t="shared" si="2"/>
        <v>253.94666666666663</v>
      </c>
      <c r="U38" s="54">
        <f t="shared" si="3"/>
        <v>380.9199999999999</v>
      </c>
    </row>
    <row r="39" spans="1:21" ht="16.5" thickBot="1">
      <c r="A39" s="141">
        <v>14</v>
      </c>
      <c r="B39" s="178" t="s">
        <v>102</v>
      </c>
      <c r="C39" s="166">
        <v>1524.6</v>
      </c>
      <c r="D39" s="166">
        <v>43.4</v>
      </c>
      <c r="E39" s="131">
        <f>SUM(C39:D39)</f>
        <v>1568</v>
      </c>
      <c r="F39" s="131"/>
      <c r="G39" s="166">
        <v>4376.2</v>
      </c>
      <c r="H39" s="142"/>
      <c r="I39" s="166"/>
      <c r="J39" s="166"/>
      <c r="K39" s="166">
        <v>2581.9</v>
      </c>
      <c r="L39" s="166"/>
      <c r="M39" s="166"/>
      <c r="N39" s="166">
        <v>1400</v>
      </c>
      <c r="O39" s="166"/>
      <c r="P39" s="166"/>
      <c r="Q39" s="131">
        <f t="shared" si="0"/>
        <v>9926.1</v>
      </c>
      <c r="R39" s="131">
        <f t="shared" si="7"/>
        <v>7105.083333333334</v>
      </c>
      <c r="S39" s="143"/>
      <c r="T39" s="143">
        <f t="shared" si="2"/>
        <v>1128.4066666666665</v>
      </c>
      <c r="U39" s="144">
        <f t="shared" si="3"/>
        <v>1692.61</v>
      </c>
    </row>
    <row r="40" spans="1:21" ht="16.5" thickBot="1">
      <c r="A40" s="248" t="s">
        <v>103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50"/>
    </row>
    <row r="41" spans="1:21" ht="36.75">
      <c r="A41" s="158">
        <v>1</v>
      </c>
      <c r="B41" s="165" t="s">
        <v>104</v>
      </c>
      <c r="C41" s="184"/>
      <c r="D41" s="184"/>
      <c r="E41" s="161">
        <v>1895.1</v>
      </c>
      <c r="F41" s="161">
        <v>8594.2</v>
      </c>
      <c r="G41" s="184"/>
      <c r="H41" s="160"/>
      <c r="I41" s="184"/>
      <c r="J41" s="184"/>
      <c r="K41" s="184"/>
      <c r="L41" s="130"/>
      <c r="M41" s="184"/>
      <c r="N41" s="184"/>
      <c r="O41" s="184"/>
      <c r="P41" s="185">
        <v>522.35514</v>
      </c>
      <c r="Q41" s="159">
        <f aca="true" t="shared" si="8" ref="Q41:Q46">E41+F41+G41+H41+I41+J41+K41+L41+M41+N41+O41+P41</f>
        <v>11011.65514</v>
      </c>
      <c r="R41" s="159"/>
      <c r="S41" s="161">
        <f aca="true" t="shared" si="9" ref="S41:S46">Q41</f>
        <v>11011.65514</v>
      </c>
      <c r="T41" s="161"/>
      <c r="U41" s="139"/>
    </row>
    <row r="42" spans="1:21" ht="36.75">
      <c r="A42" s="97">
        <v>2</v>
      </c>
      <c r="B42" s="163" t="s">
        <v>105</v>
      </c>
      <c r="C42" s="119"/>
      <c r="D42" s="119"/>
      <c r="E42" s="108">
        <v>728.5</v>
      </c>
      <c r="F42" s="108">
        <v>2655.15</v>
      </c>
      <c r="G42" s="119"/>
      <c r="H42" s="95"/>
      <c r="I42" s="119"/>
      <c r="J42" s="119"/>
      <c r="K42" s="119"/>
      <c r="L42" s="119"/>
      <c r="M42" s="119"/>
      <c r="N42" s="119"/>
      <c r="O42" s="119"/>
      <c r="P42" s="149">
        <v>1059.13862</v>
      </c>
      <c r="Q42" s="103">
        <f t="shared" si="8"/>
        <v>4442.78862</v>
      </c>
      <c r="R42" s="103"/>
      <c r="S42" s="108">
        <f t="shared" si="9"/>
        <v>4442.78862</v>
      </c>
      <c r="T42" s="108"/>
      <c r="U42" s="31"/>
    </row>
    <row r="43" spans="1:21" ht="48.75">
      <c r="A43" s="97">
        <v>3</v>
      </c>
      <c r="B43" s="163" t="s">
        <v>106</v>
      </c>
      <c r="C43" s="119"/>
      <c r="D43" s="119"/>
      <c r="E43" s="108">
        <v>3228.647</v>
      </c>
      <c r="F43" s="108">
        <v>1779.5</v>
      </c>
      <c r="G43" s="119"/>
      <c r="H43" s="95"/>
      <c r="I43" s="119"/>
      <c r="J43" s="119"/>
      <c r="K43" s="119"/>
      <c r="L43" s="119"/>
      <c r="M43" s="119"/>
      <c r="N43" s="119"/>
      <c r="O43" s="119"/>
      <c r="P43" s="149">
        <v>647.6375</v>
      </c>
      <c r="Q43" s="103">
        <f t="shared" si="8"/>
        <v>5655.7845</v>
      </c>
      <c r="R43" s="103"/>
      <c r="S43" s="108">
        <f t="shared" si="9"/>
        <v>5655.7845</v>
      </c>
      <c r="T43" s="108"/>
      <c r="U43" s="31"/>
    </row>
    <row r="44" spans="1:21" ht="36.75">
      <c r="A44" s="97">
        <v>4</v>
      </c>
      <c r="B44" s="163" t="s">
        <v>107</v>
      </c>
      <c r="C44" s="119"/>
      <c r="D44" s="119"/>
      <c r="E44" s="152">
        <v>536.66</v>
      </c>
      <c r="F44" s="108"/>
      <c r="G44" s="119"/>
      <c r="H44" s="95"/>
      <c r="I44" s="119"/>
      <c r="J44" s="119"/>
      <c r="K44" s="119"/>
      <c r="L44" s="119"/>
      <c r="M44" s="119"/>
      <c r="N44" s="119"/>
      <c r="O44" s="119"/>
      <c r="P44" s="149">
        <v>137.07494</v>
      </c>
      <c r="Q44" s="103">
        <f t="shared" si="8"/>
        <v>673.7349399999999</v>
      </c>
      <c r="R44" s="103"/>
      <c r="S44" s="108">
        <f t="shared" si="9"/>
        <v>673.7349399999999</v>
      </c>
      <c r="T44" s="108"/>
      <c r="U44" s="31"/>
    </row>
    <row r="45" spans="1:21" ht="48.75">
      <c r="A45" s="97">
        <v>5</v>
      </c>
      <c r="B45" s="163" t="s">
        <v>71</v>
      </c>
      <c r="C45" s="119"/>
      <c r="D45" s="119"/>
      <c r="E45" s="149"/>
      <c r="F45" s="119"/>
      <c r="G45" s="119"/>
      <c r="H45" s="95"/>
      <c r="I45" s="119"/>
      <c r="J45" s="119"/>
      <c r="K45" s="119"/>
      <c r="L45" s="119"/>
      <c r="M45" s="119"/>
      <c r="N45" s="119"/>
      <c r="O45" s="119"/>
      <c r="P45" s="119"/>
      <c r="Q45" s="103">
        <f t="shared" si="8"/>
        <v>0</v>
      </c>
      <c r="R45" s="103"/>
      <c r="S45" s="108">
        <f t="shared" si="9"/>
        <v>0</v>
      </c>
      <c r="T45" s="108"/>
      <c r="U45" s="31"/>
    </row>
    <row r="46" spans="1:21" ht="37.5" thickBot="1">
      <c r="A46" s="141">
        <v>6</v>
      </c>
      <c r="B46" s="186" t="s">
        <v>76</v>
      </c>
      <c r="C46" s="166"/>
      <c r="D46" s="166"/>
      <c r="E46" s="166"/>
      <c r="F46" s="166"/>
      <c r="G46" s="166"/>
      <c r="H46" s="142"/>
      <c r="I46" s="166"/>
      <c r="J46" s="166"/>
      <c r="K46" s="166"/>
      <c r="L46" s="166"/>
      <c r="M46" s="166"/>
      <c r="N46" s="166"/>
      <c r="O46" s="166"/>
      <c r="P46" s="187">
        <v>68.6658</v>
      </c>
      <c r="Q46" s="131">
        <f t="shared" si="8"/>
        <v>68.6658</v>
      </c>
      <c r="R46" s="131"/>
      <c r="S46" s="143">
        <f t="shared" si="9"/>
        <v>68.6658</v>
      </c>
      <c r="T46" s="143"/>
      <c r="U46" s="32"/>
    </row>
    <row r="47" spans="1:21" ht="65.25" thickBot="1">
      <c r="A47" s="179"/>
      <c r="B47" s="180" t="s">
        <v>108</v>
      </c>
      <c r="C47" s="181"/>
      <c r="D47" s="181"/>
      <c r="E47" s="182">
        <f aca="true" t="shared" si="10" ref="E47:O47">SUM(E11:E45)</f>
        <v>147034.50700000004</v>
      </c>
      <c r="F47" s="182">
        <f t="shared" si="10"/>
        <v>13028.85</v>
      </c>
      <c r="G47" s="182">
        <f t="shared" si="10"/>
        <v>309968.80000000005</v>
      </c>
      <c r="H47" s="182">
        <f t="shared" si="10"/>
        <v>3310</v>
      </c>
      <c r="I47" s="182">
        <f t="shared" si="10"/>
        <v>14202</v>
      </c>
      <c r="J47" s="182">
        <f t="shared" si="10"/>
        <v>5576.7</v>
      </c>
      <c r="K47" s="182">
        <f t="shared" si="10"/>
        <v>59281.9</v>
      </c>
      <c r="L47" s="182">
        <f t="shared" si="10"/>
        <v>37180</v>
      </c>
      <c r="M47" s="182">
        <f t="shared" si="10"/>
        <v>82398.59999999999</v>
      </c>
      <c r="N47" s="182">
        <f t="shared" si="10"/>
        <v>25566.3</v>
      </c>
      <c r="O47" s="182">
        <f t="shared" si="10"/>
        <v>161760</v>
      </c>
      <c r="P47" s="183">
        <f>P46+P44+P43+P42+P41</f>
        <v>2434.872</v>
      </c>
      <c r="Q47" s="183">
        <f>SUM(Q11:Q46)</f>
        <v>861742.5289999997</v>
      </c>
      <c r="R47" s="183">
        <f>SUM(R11:R46)</f>
        <v>456841.6450980391</v>
      </c>
      <c r="S47" s="183">
        <f>SUM(S11:S46)</f>
        <v>21852.629</v>
      </c>
      <c r="T47" s="183">
        <f>SUM(T11:T46)</f>
        <v>153219.30196078433</v>
      </c>
      <c r="U47" s="218">
        <f>SUM(U11:U46)</f>
        <v>229828.95294117645</v>
      </c>
    </row>
  </sheetData>
  <sheetProtection/>
  <mergeCells count="26">
    <mergeCell ref="A10:U10"/>
    <mergeCell ref="A25:U25"/>
    <mergeCell ref="A40:U40"/>
    <mergeCell ref="A3:U3"/>
    <mergeCell ref="K6:K8"/>
    <mergeCell ref="L6:L8"/>
    <mergeCell ref="G6:G8"/>
    <mergeCell ref="H6:H8"/>
    <mergeCell ref="I6:I8"/>
    <mergeCell ref="J6:J8"/>
    <mergeCell ref="S1:U1"/>
    <mergeCell ref="U6:U8"/>
    <mergeCell ref="O6:O8"/>
    <mergeCell ref="M6:M8"/>
    <mergeCell ref="T6:T8"/>
    <mergeCell ref="Q6:Q8"/>
    <mergeCell ref="S6:S8"/>
    <mergeCell ref="R6:R8"/>
    <mergeCell ref="P6:P8"/>
    <mergeCell ref="A5:T5"/>
    <mergeCell ref="S2:U2"/>
    <mergeCell ref="A6:A8"/>
    <mergeCell ref="E6:E8"/>
    <mergeCell ref="N6:N8"/>
    <mergeCell ref="F6:F8"/>
    <mergeCell ref="B6:B8"/>
  </mergeCells>
  <printOptions/>
  <pageMargins left="0.83" right="0.31496062992125984" top="0.7480314960629921" bottom="0.7480314960629921" header="0.31496062992125984" footer="0.31496062992125984"/>
  <pageSetup firstPageNumber="110" useFirstPageNumber="1" fitToWidth="0" horizontalDpi="600" verticalDpi="600" orientation="landscape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43"/>
  <sheetViews>
    <sheetView view="pageBreakPreview" zoomScale="115" zoomScaleSheetLayoutView="115" zoomScalePageLayoutView="0" workbookViewId="0" topLeftCell="A4">
      <selection activeCell="H7" sqref="H7"/>
    </sheetView>
  </sheetViews>
  <sheetFormatPr defaultColWidth="9.140625" defaultRowHeight="15"/>
  <cols>
    <col min="1" max="1" width="4.57421875" style="117" customWidth="1"/>
    <col min="2" max="2" width="14.8515625" style="117" customWidth="1"/>
    <col min="3" max="3" width="13.57421875" style="117" customWidth="1"/>
    <col min="4" max="4" width="8.57421875" style="117" customWidth="1"/>
    <col min="5" max="5" width="8.57421875" style="124" customWidth="1"/>
    <col min="6" max="6" width="9.421875" style="124" customWidth="1"/>
    <col min="7" max="7" width="16.421875" style="117" customWidth="1"/>
    <col min="8" max="10" width="9.421875" style="117" customWidth="1"/>
    <col min="11" max="11" width="13.140625" style="117" bestFit="1" customWidth="1"/>
    <col min="12" max="16384" width="9.140625" style="45" customWidth="1"/>
  </cols>
  <sheetData>
    <row r="1" spans="1:11" ht="16.5" thickBot="1">
      <c r="A1" s="223" t="s">
        <v>72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ht="16.5" customHeight="1">
      <c r="A2" s="226" t="s">
        <v>0</v>
      </c>
      <c r="B2" s="252" t="s">
        <v>77</v>
      </c>
      <c r="C2" s="257" t="s">
        <v>109</v>
      </c>
      <c r="D2" s="252" t="s">
        <v>112</v>
      </c>
      <c r="E2" s="263" t="s">
        <v>111</v>
      </c>
      <c r="F2" s="263" t="s">
        <v>110</v>
      </c>
      <c r="G2" s="252" t="s">
        <v>88</v>
      </c>
      <c r="H2" s="266" t="s">
        <v>89</v>
      </c>
      <c r="I2" s="266" t="s">
        <v>90</v>
      </c>
      <c r="J2" s="252" t="s">
        <v>91</v>
      </c>
      <c r="K2" s="260" t="s">
        <v>73</v>
      </c>
    </row>
    <row r="3" spans="1:11" s="7" customFormat="1" ht="50.25" customHeight="1">
      <c r="A3" s="227"/>
      <c r="B3" s="253"/>
      <c r="C3" s="258"/>
      <c r="D3" s="253"/>
      <c r="E3" s="264"/>
      <c r="F3" s="264"/>
      <c r="G3" s="253"/>
      <c r="H3" s="267"/>
      <c r="I3" s="267"/>
      <c r="J3" s="253"/>
      <c r="K3" s="261"/>
    </row>
    <row r="4" spans="1:11" s="7" customFormat="1" ht="149.25" customHeight="1" thickBot="1">
      <c r="A4" s="228"/>
      <c r="B4" s="254"/>
      <c r="C4" s="259"/>
      <c r="D4" s="254"/>
      <c r="E4" s="265"/>
      <c r="F4" s="265"/>
      <c r="G4" s="254"/>
      <c r="H4" s="268"/>
      <c r="I4" s="268"/>
      <c r="J4" s="254"/>
      <c r="K4" s="262"/>
    </row>
    <row r="5" spans="1:11" s="7" customFormat="1" ht="13.5" thickBot="1">
      <c r="A5" s="154">
        <v>1</v>
      </c>
      <c r="B5" s="153">
        <v>2</v>
      </c>
      <c r="C5" s="167">
        <v>20</v>
      </c>
      <c r="D5" s="153">
        <v>21</v>
      </c>
      <c r="E5" s="168">
        <v>22</v>
      </c>
      <c r="F5" s="167">
        <v>23</v>
      </c>
      <c r="G5" s="153">
        <v>24</v>
      </c>
      <c r="H5" s="168">
        <v>25</v>
      </c>
      <c r="I5" s="167">
        <v>26</v>
      </c>
      <c r="J5" s="153">
        <v>27</v>
      </c>
      <c r="K5" s="188">
        <v>28</v>
      </c>
    </row>
    <row r="6" spans="1:11" ht="15.75">
      <c r="A6" s="226" t="s">
        <v>92</v>
      </c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s="33" customFormat="1" ht="15.75">
      <c r="A7" s="97">
        <v>1</v>
      </c>
      <c r="B7" s="175" t="s">
        <v>3</v>
      </c>
      <c r="C7" s="108">
        <v>1850</v>
      </c>
      <c r="D7" s="95">
        <v>3069</v>
      </c>
      <c r="E7" s="125">
        <f>2895.8+330+23014.2</f>
        <v>26240</v>
      </c>
      <c r="F7" s="126"/>
      <c r="G7" s="103">
        <f>C7+D7+E7+F7</f>
        <v>31159</v>
      </c>
      <c r="H7" s="103">
        <f>(C7+D7+E7+F7)/1.7</f>
        <v>18328.823529411766</v>
      </c>
      <c r="I7" s="108"/>
      <c r="J7" s="108">
        <f>(G7-H7)*0.4</f>
        <v>5132.070588235294</v>
      </c>
      <c r="K7" s="109">
        <f>(G7-H7)*0.6</f>
        <v>7698.10588235294</v>
      </c>
    </row>
    <row r="8" spans="1:11" s="33" customFormat="1" ht="15.75">
      <c r="A8" s="97">
        <f aca="true" t="shared" si="0" ref="A8:A20">A7+1</f>
        <v>2</v>
      </c>
      <c r="B8" s="175" t="s">
        <v>2</v>
      </c>
      <c r="C8" s="108"/>
      <c r="D8" s="95">
        <v>500</v>
      </c>
      <c r="E8" s="126">
        <v>3453.5</v>
      </c>
      <c r="F8" s="126">
        <v>658</v>
      </c>
      <c r="G8" s="103">
        <f>C8+D8+E8+F8</f>
        <v>4611.5</v>
      </c>
      <c r="H8" s="103">
        <f>(C8+D8+E8+F8)/1.7</f>
        <v>2712.6470588235293</v>
      </c>
      <c r="I8" s="108"/>
      <c r="J8" s="108">
        <f>(G8-H8)*0.4</f>
        <v>759.5411764705883</v>
      </c>
      <c r="K8" s="109">
        <f>(G8-H8)*0.6</f>
        <v>1139.3117647058823</v>
      </c>
    </row>
    <row r="9" spans="1:11" s="33" customFormat="1" ht="15.75">
      <c r="A9" s="97">
        <f t="shared" si="0"/>
        <v>3</v>
      </c>
      <c r="B9" s="175" t="s">
        <v>6</v>
      </c>
      <c r="C9" s="108"/>
      <c r="D9" s="95"/>
      <c r="E9" s="126"/>
      <c r="F9" s="126"/>
      <c r="G9" s="103"/>
      <c r="H9" s="103"/>
      <c r="I9" s="108"/>
      <c r="J9" s="108"/>
      <c r="K9" s="109"/>
    </row>
    <row r="10" spans="1:11" s="33" customFormat="1" ht="15.75">
      <c r="A10" s="97">
        <f t="shared" si="0"/>
        <v>4</v>
      </c>
      <c r="B10" s="175" t="s">
        <v>8</v>
      </c>
      <c r="C10" s="108"/>
      <c r="D10" s="95"/>
      <c r="E10" s="126"/>
      <c r="F10" s="126">
        <v>1880</v>
      </c>
      <c r="G10" s="103">
        <f>C10+D10+E10+F10</f>
        <v>1880</v>
      </c>
      <c r="H10" s="103">
        <f>(C10+D10+E10+F10)/1.7</f>
        <v>1105.8823529411766</v>
      </c>
      <c r="I10" s="108"/>
      <c r="J10" s="108">
        <f>(G10-H10)*0.4</f>
        <v>309.6470588235294</v>
      </c>
      <c r="K10" s="109">
        <f>(G10-H10)*0.6</f>
        <v>464.47058823529403</v>
      </c>
    </row>
    <row r="11" spans="1:11" s="33" customFormat="1" ht="15.75">
      <c r="A11" s="97">
        <f t="shared" si="0"/>
        <v>5</v>
      </c>
      <c r="B11" s="175" t="s">
        <v>9</v>
      </c>
      <c r="C11" s="108"/>
      <c r="D11" s="95"/>
      <c r="E11" s="126"/>
      <c r="F11" s="126">
        <v>423</v>
      </c>
      <c r="G11" s="103">
        <f>C11+D11+E11+F11</f>
        <v>423</v>
      </c>
      <c r="H11" s="103">
        <f>(C11+D11+E11+F11)/1.7</f>
        <v>248.82352941176472</v>
      </c>
      <c r="I11" s="108"/>
      <c r="J11" s="108">
        <f>(G11-H11)*0.4</f>
        <v>69.67058823529412</v>
      </c>
      <c r="K11" s="109">
        <f>(G11-H11)*0.6</f>
        <v>104.50588235294116</v>
      </c>
    </row>
    <row r="12" spans="1:11" s="33" customFormat="1" ht="15.75">
      <c r="A12" s="97">
        <f t="shared" si="0"/>
        <v>6</v>
      </c>
      <c r="B12" s="175" t="s">
        <v>7</v>
      </c>
      <c r="C12" s="108"/>
      <c r="D12" s="95"/>
      <c r="E12" s="126"/>
      <c r="F12" s="126">
        <v>70.5</v>
      </c>
      <c r="G12" s="103">
        <f>C12+D12+E12+F12</f>
        <v>70.5</v>
      </c>
      <c r="H12" s="103">
        <f>(C12+D12+E12+F12)/1.7</f>
        <v>41.470588235294116</v>
      </c>
      <c r="I12" s="108"/>
      <c r="J12" s="108">
        <f>(G12-H12)*0.4</f>
        <v>11.611764705882354</v>
      </c>
      <c r="K12" s="109">
        <f>(G12-H12)*0.6</f>
        <v>17.41764705882353</v>
      </c>
    </row>
    <row r="13" spans="1:11" s="33" customFormat="1" ht="15.75">
      <c r="A13" s="97">
        <f t="shared" si="0"/>
        <v>7</v>
      </c>
      <c r="B13" s="175" t="s">
        <v>57</v>
      </c>
      <c r="C13" s="108">
        <v>14696.2</v>
      </c>
      <c r="D13" s="95"/>
      <c r="E13" s="126"/>
      <c r="F13" s="126"/>
      <c r="G13" s="103">
        <f>C13+D13+E13+F13</f>
        <v>14696.2</v>
      </c>
      <c r="H13" s="103">
        <f>(C13+D13+E13+F13)/1.7</f>
        <v>8644.823529411766</v>
      </c>
      <c r="I13" s="108"/>
      <c r="J13" s="108">
        <f>(G13-H13)*0.4</f>
        <v>2420.550588235294</v>
      </c>
      <c r="K13" s="109">
        <f>(G13-H13)*0.6</f>
        <v>3630.825882352941</v>
      </c>
    </row>
    <row r="14" spans="1:11" s="33" customFormat="1" ht="15.75">
      <c r="A14" s="97">
        <f t="shared" si="0"/>
        <v>8</v>
      </c>
      <c r="B14" s="175" t="s">
        <v>1</v>
      </c>
      <c r="C14" s="108"/>
      <c r="D14" s="95">
        <v>836.7</v>
      </c>
      <c r="E14" s="125">
        <v>27225</v>
      </c>
      <c r="F14" s="126"/>
      <c r="G14" s="103">
        <f>C14+D14+E14+F14</f>
        <v>28061.7</v>
      </c>
      <c r="H14" s="103">
        <f>(C14+D14+E14+F14)/2</f>
        <v>14030.85</v>
      </c>
      <c r="I14" s="108"/>
      <c r="J14" s="108">
        <f>(G14-H14)*0.4</f>
        <v>5612.34</v>
      </c>
      <c r="K14" s="109">
        <f>(G14-H14)*0.6</f>
        <v>8418.51</v>
      </c>
    </row>
    <row r="15" spans="1:11" s="33" customFormat="1" ht="15.75">
      <c r="A15" s="97">
        <f t="shared" si="0"/>
        <v>9</v>
      </c>
      <c r="B15" s="175" t="s">
        <v>62</v>
      </c>
      <c r="C15" s="108"/>
      <c r="D15" s="95"/>
      <c r="E15" s="126"/>
      <c r="F15" s="126"/>
      <c r="G15" s="103"/>
      <c r="H15" s="103"/>
      <c r="I15" s="108"/>
      <c r="J15" s="108"/>
      <c r="K15" s="109"/>
    </row>
    <row r="16" spans="1:11" s="128" customFormat="1" ht="15.75">
      <c r="A16" s="97">
        <f t="shared" si="0"/>
        <v>10</v>
      </c>
      <c r="B16" s="175" t="s">
        <v>5</v>
      </c>
      <c r="C16" s="108"/>
      <c r="D16" s="95"/>
      <c r="E16" s="126"/>
      <c r="F16" s="126"/>
      <c r="G16" s="103"/>
      <c r="H16" s="103"/>
      <c r="I16" s="108"/>
      <c r="J16" s="108"/>
      <c r="K16" s="109"/>
    </row>
    <row r="17" spans="1:11" s="33" customFormat="1" ht="15.75">
      <c r="A17" s="97">
        <f t="shared" si="0"/>
        <v>11</v>
      </c>
      <c r="B17" s="175" t="s">
        <v>93</v>
      </c>
      <c r="C17" s="108"/>
      <c r="D17" s="95"/>
      <c r="E17" s="126">
        <v>772.2</v>
      </c>
      <c r="F17" s="126"/>
      <c r="G17" s="103">
        <f>C17+D17+E17+F17</f>
        <v>772.2</v>
      </c>
      <c r="H17" s="103">
        <f>(C17+D17+E17+F17)/1.7</f>
        <v>454.2352941176471</v>
      </c>
      <c r="I17" s="108"/>
      <c r="J17" s="108">
        <f>(G17-H17)*0.4</f>
        <v>127.18588235294119</v>
      </c>
      <c r="K17" s="109">
        <f>(G17-H17)*0.6</f>
        <v>190.77882352941177</v>
      </c>
    </row>
    <row r="18" spans="1:11" s="33" customFormat="1" ht="15.75">
      <c r="A18" s="97">
        <f t="shared" si="0"/>
        <v>12</v>
      </c>
      <c r="B18" s="175" t="s">
        <v>27</v>
      </c>
      <c r="C18" s="108"/>
      <c r="D18" s="95"/>
      <c r="E18" s="126"/>
      <c r="F18" s="126"/>
      <c r="G18" s="103"/>
      <c r="H18" s="103"/>
      <c r="I18" s="108"/>
      <c r="J18" s="108"/>
      <c r="K18" s="109"/>
    </row>
    <row r="19" spans="1:11" s="33" customFormat="1" ht="15.75">
      <c r="A19" s="97">
        <f t="shared" si="0"/>
        <v>13</v>
      </c>
      <c r="B19" s="175" t="s">
        <v>10</v>
      </c>
      <c r="C19" s="108"/>
      <c r="D19" s="95"/>
      <c r="E19" s="126"/>
      <c r="F19" s="126"/>
      <c r="G19" s="103"/>
      <c r="H19" s="103"/>
      <c r="I19" s="108"/>
      <c r="J19" s="108"/>
      <c r="K19" s="109"/>
    </row>
    <row r="20" spans="1:11" s="33" customFormat="1" ht="16.5" thickBot="1">
      <c r="A20" s="141">
        <f t="shared" si="0"/>
        <v>14</v>
      </c>
      <c r="B20" s="189" t="s">
        <v>94</v>
      </c>
      <c r="C20" s="143"/>
      <c r="D20" s="142"/>
      <c r="E20" s="190"/>
      <c r="F20" s="190"/>
      <c r="G20" s="131"/>
      <c r="H20" s="131"/>
      <c r="I20" s="143"/>
      <c r="J20" s="143"/>
      <c r="K20" s="191"/>
    </row>
    <row r="21" spans="1:11" s="33" customFormat="1" ht="16.5" thickBot="1">
      <c r="A21" s="245" t="s">
        <v>95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</row>
    <row r="22" spans="1:11" s="33" customFormat="1" ht="17.25" customHeight="1">
      <c r="A22" s="158">
        <v>1</v>
      </c>
      <c r="B22" s="192" t="s">
        <v>14</v>
      </c>
      <c r="C22" s="161">
        <v>2200</v>
      </c>
      <c r="D22" s="160"/>
      <c r="E22" s="193"/>
      <c r="F22" s="193"/>
      <c r="G22" s="159">
        <f>C22+D22+E22+F22</f>
        <v>2200</v>
      </c>
      <c r="H22" s="159">
        <f>(C22+D22+E22+F22)/1.2</f>
        <v>1833.3333333333335</v>
      </c>
      <c r="I22" s="161"/>
      <c r="J22" s="161">
        <f>(G22-H22)*0.4</f>
        <v>146.6666666666666</v>
      </c>
      <c r="K22" s="194">
        <f>(G22-H22)*0.6</f>
        <v>219.99999999999991</v>
      </c>
    </row>
    <row r="23" spans="1:11" s="33" customFormat="1" ht="15.75">
      <c r="A23" s="97">
        <v>2</v>
      </c>
      <c r="B23" s="176" t="s">
        <v>34</v>
      </c>
      <c r="C23" s="108"/>
      <c r="D23" s="95"/>
      <c r="E23" s="126"/>
      <c r="F23" s="126"/>
      <c r="G23" s="103"/>
      <c r="H23" s="103"/>
      <c r="I23" s="108"/>
      <c r="J23" s="108"/>
      <c r="K23" s="109"/>
    </row>
    <row r="24" spans="1:11" ht="15.75">
      <c r="A24" s="97">
        <f aca="true" t="shared" si="1" ref="A24:A35">A23+1</f>
        <v>3</v>
      </c>
      <c r="B24" s="176" t="s">
        <v>96</v>
      </c>
      <c r="C24" s="108"/>
      <c r="D24" s="119"/>
      <c r="E24" s="123"/>
      <c r="F24" s="123"/>
      <c r="G24" s="103"/>
      <c r="H24" s="103"/>
      <c r="I24" s="108"/>
      <c r="J24" s="108"/>
      <c r="K24" s="109"/>
    </row>
    <row r="25" spans="1:11" ht="15.75">
      <c r="A25" s="97">
        <f t="shared" si="1"/>
        <v>4</v>
      </c>
      <c r="B25" s="176" t="s">
        <v>28</v>
      </c>
      <c r="C25" s="108"/>
      <c r="D25" s="119"/>
      <c r="E25" s="123"/>
      <c r="F25" s="123"/>
      <c r="G25" s="103"/>
      <c r="H25" s="103"/>
      <c r="I25" s="108"/>
      <c r="J25" s="108"/>
      <c r="K25" s="109"/>
    </row>
    <row r="26" spans="1:11" s="33" customFormat="1" ht="15.75">
      <c r="A26" s="97">
        <f t="shared" si="1"/>
        <v>5</v>
      </c>
      <c r="B26" s="175" t="s">
        <v>97</v>
      </c>
      <c r="C26" s="108">
        <v>4096.4</v>
      </c>
      <c r="D26" s="95">
        <v>129.6</v>
      </c>
      <c r="E26" s="126"/>
      <c r="F26" s="126"/>
      <c r="G26" s="103">
        <f>C26+D26+E26+F26</f>
        <v>4226</v>
      </c>
      <c r="H26" s="103">
        <f>(C26+D26+E26+F26)/1.2</f>
        <v>3521.666666666667</v>
      </c>
      <c r="I26" s="108"/>
      <c r="J26" s="108">
        <f>(G26-H26)*0.4</f>
        <v>281.73333333333323</v>
      </c>
      <c r="K26" s="109">
        <f>(G26-H26)*0.6</f>
        <v>422.5999999999998</v>
      </c>
    </row>
    <row r="27" spans="1:11" s="33" customFormat="1" ht="15.75">
      <c r="A27" s="97">
        <f t="shared" si="1"/>
        <v>6</v>
      </c>
      <c r="B27" s="175" t="s">
        <v>98</v>
      </c>
      <c r="C27" s="108"/>
      <c r="D27" s="95"/>
      <c r="E27" s="126"/>
      <c r="F27" s="126"/>
      <c r="G27" s="103"/>
      <c r="H27" s="103"/>
      <c r="I27" s="108"/>
      <c r="J27" s="108"/>
      <c r="K27" s="109"/>
    </row>
    <row r="28" spans="1:11" ht="15.75">
      <c r="A28" s="97">
        <f t="shared" si="1"/>
        <v>7</v>
      </c>
      <c r="B28" s="176" t="s">
        <v>58</v>
      </c>
      <c r="C28" s="108"/>
      <c r="D28" s="119"/>
      <c r="E28" s="123"/>
      <c r="F28" s="123"/>
      <c r="G28" s="103"/>
      <c r="H28" s="103"/>
      <c r="I28" s="108"/>
      <c r="J28" s="108"/>
      <c r="K28" s="109"/>
    </row>
    <row r="29" spans="1:11" ht="15.75">
      <c r="A29" s="97">
        <f t="shared" si="1"/>
        <v>8</v>
      </c>
      <c r="B29" s="176" t="s">
        <v>29</v>
      </c>
      <c r="C29" s="108"/>
      <c r="D29" s="119"/>
      <c r="E29" s="123"/>
      <c r="F29" s="123"/>
      <c r="G29" s="103"/>
      <c r="H29" s="103"/>
      <c r="I29" s="108"/>
      <c r="J29" s="108"/>
      <c r="K29" s="109"/>
    </row>
    <row r="30" spans="1:11" ht="15.75">
      <c r="A30" s="97">
        <f t="shared" si="1"/>
        <v>9</v>
      </c>
      <c r="B30" s="176" t="s">
        <v>99</v>
      </c>
      <c r="C30" s="108">
        <v>750</v>
      </c>
      <c r="D30" s="119"/>
      <c r="E30" s="123"/>
      <c r="F30" s="123"/>
      <c r="G30" s="103">
        <f>C30+D30+E30+F30</f>
        <v>750</v>
      </c>
      <c r="H30" s="103">
        <f>(C30+D30+E30+F30)/1.2</f>
        <v>625</v>
      </c>
      <c r="I30" s="108"/>
      <c r="J30" s="108">
        <f>(G30-H30)*0.4</f>
        <v>50</v>
      </c>
      <c r="K30" s="109">
        <f>(G30-H30)*0.6</f>
        <v>75</v>
      </c>
    </row>
    <row r="31" spans="1:11" ht="15.75">
      <c r="A31" s="97">
        <f t="shared" si="1"/>
        <v>10</v>
      </c>
      <c r="B31" s="176" t="s">
        <v>32</v>
      </c>
      <c r="C31" s="108"/>
      <c r="D31" s="119"/>
      <c r="E31" s="123"/>
      <c r="F31" s="123"/>
      <c r="G31" s="103"/>
      <c r="H31" s="103"/>
      <c r="I31" s="108"/>
      <c r="J31" s="108"/>
      <c r="K31" s="109"/>
    </row>
    <row r="32" spans="1:11" ht="15.75">
      <c r="A32" s="97">
        <f t="shared" si="1"/>
        <v>11</v>
      </c>
      <c r="B32" s="176" t="s">
        <v>42</v>
      </c>
      <c r="C32" s="108"/>
      <c r="D32" s="119"/>
      <c r="E32" s="123"/>
      <c r="F32" s="123"/>
      <c r="G32" s="103"/>
      <c r="H32" s="103"/>
      <c r="I32" s="108"/>
      <c r="J32" s="108"/>
      <c r="K32" s="109"/>
    </row>
    <row r="33" spans="1:11" ht="24.75">
      <c r="A33" s="97">
        <f t="shared" si="1"/>
        <v>12</v>
      </c>
      <c r="B33" s="175" t="s">
        <v>100</v>
      </c>
      <c r="C33" s="108">
        <v>372.4</v>
      </c>
      <c r="D33" s="119"/>
      <c r="E33" s="123"/>
      <c r="F33" s="123"/>
      <c r="G33" s="103">
        <f>C33+D33+E33+F33</f>
        <v>372.4</v>
      </c>
      <c r="H33" s="103">
        <f>(C33+D33+E33+F33)/1.2</f>
        <v>310.3333333333333</v>
      </c>
      <c r="I33" s="108"/>
      <c r="J33" s="108">
        <f>(G33-H33)*0.4</f>
        <v>24.826666666666668</v>
      </c>
      <c r="K33" s="109">
        <f>(G33-H33)*0.6</f>
        <v>37.239999999999995</v>
      </c>
    </row>
    <row r="34" spans="1:11" ht="15.75">
      <c r="A34" s="97">
        <f t="shared" si="1"/>
        <v>13</v>
      </c>
      <c r="B34" s="176" t="s">
        <v>101</v>
      </c>
      <c r="C34" s="108"/>
      <c r="D34" s="119"/>
      <c r="E34" s="123"/>
      <c r="F34" s="123"/>
      <c r="G34" s="103"/>
      <c r="H34" s="103"/>
      <c r="I34" s="108"/>
      <c r="J34" s="108"/>
      <c r="K34" s="109"/>
    </row>
    <row r="35" spans="1:11" ht="16.5" thickBot="1">
      <c r="A35" s="141">
        <f t="shared" si="1"/>
        <v>14</v>
      </c>
      <c r="B35" s="195" t="s">
        <v>102</v>
      </c>
      <c r="C35" s="143"/>
      <c r="D35" s="166"/>
      <c r="E35" s="196"/>
      <c r="F35" s="196"/>
      <c r="G35" s="131"/>
      <c r="H35" s="131"/>
      <c r="I35" s="143"/>
      <c r="J35" s="143"/>
      <c r="K35" s="191"/>
    </row>
    <row r="36" spans="1:11" ht="16.5" thickBot="1">
      <c r="A36" s="248" t="s">
        <v>103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50"/>
    </row>
    <row r="37" spans="1:11" ht="48.75">
      <c r="A37" s="158">
        <v>1</v>
      </c>
      <c r="B37" s="192" t="s">
        <v>104</v>
      </c>
      <c r="C37" s="161">
        <v>3330.6</v>
      </c>
      <c r="D37" s="130"/>
      <c r="E37" s="197"/>
      <c r="F37" s="197">
        <v>705</v>
      </c>
      <c r="G37" s="159">
        <f>C37+D37+E37+F37</f>
        <v>4035.6</v>
      </c>
      <c r="H37" s="159"/>
      <c r="I37" s="161">
        <f>G37</f>
        <v>4035.6</v>
      </c>
      <c r="J37" s="161"/>
      <c r="K37" s="198"/>
    </row>
    <row r="38" spans="1:11" ht="60.75">
      <c r="A38" s="97">
        <v>2</v>
      </c>
      <c r="B38" s="175" t="s">
        <v>105</v>
      </c>
      <c r="C38" s="108"/>
      <c r="D38" s="119"/>
      <c r="E38" s="123"/>
      <c r="F38" s="123"/>
      <c r="G38" s="103">
        <f>C38+D38+E38+F38</f>
        <v>0</v>
      </c>
      <c r="H38" s="103"/>
      <c r="I38" s="108">
        <f>G38</f>
        <v>0</v>
      </c>
      <c r="J38" s="108"/>
      <c r="K38" s="99"/>
    </row>
    <row r="39" spans="1:11" ht="72.75">
      <c r="A39" s="97">
        <v>3</v>
      </c>
      <c r="B39" s="175" t="s">
        <v>106</v>
      </c>
      <c r="C39" s="108">
        <v>1665.3</v>
      </c>
      <c r="D39" s="119"/>
      <c r="E39" s="123"/>
      <c r="F39" s="123">
        <v>3760</v>
      </c>
      <c r="G39" s="103">
        <f>C39+D39+E39+F39</f>
        <v>5425.3</v>
      </c>
      <c r="H39" s="103"/>
      <c r="I39" s="108">
        <f>G39</f>
        <v>5425.3</v>
      </c>
      <c r="J39" s="108"/>
      <c r="K39" s="99"/>
    </row>
    <row r="40" spans="1:11" ht="60.75">
      <c r="A40" s="97">
        <v>4</v>
      </c>
      <c r="B40" s="175" t="s">
        <v>107</v>
      </c>
      <c r="C40" s="108"/>
      <c r="D40" s="119"/>
      <c r="E40" s="123"/>
      <c r="F40" s="123"/>
      <c r="G40" s="103"/>
      <c r="H40" s="103"/>
      <c r="I40" s="108"/>
      <c r="J40" s="108"/>
      <c r="K40" s="99"/>
    </row>
    <row r="41" spans="1:11" ht="60.75">
      <c r="A41" s="97">
        <v>5</v>
      </c>
      <c r="B41" s="175" t="s">
        <v>71</v>
      </c>
      <c r="C41" s="108"/>
      <c r="D41" s="119"/>
      <c r="E41" s="123"/>
      <c r="F41" s="123"/>
      <c r="G41" s="103"/>
      <c r="H41" s="103"/>
      <c r="I41" s="108"/>
      <c r="J41" s="108"/>
      <c r="K41" s="99"/>
    </row>
    <row r="42" spans="1:11" ht="61.5" thickBot="1">
      <c r="A42" s="141">
        <v>6</v>
      </c>
      <c r="B42" s="186" t="s">
        <v>76</v>
      </c>
      <c r="C42" s="143"/>
      <c r="D42" s="166"/>
      <c r="E42" s="196"/>
      <c r="F42" s="196"/>
      <c r="G42" s="131"/>
      <c r="H42" s="131"/>
      <c r="I42" s="143"/>
      <c r="J42" s="143"/>
      <c r="K42" s="199"/>
    </row>
    <row r="43" spans="1:11" s="88" customFormat="1" ht="52.5" thickBot="1">
      <c r="A43" s="200"/>
      <c r="B43" s="147" t="s">
        <v>74</v>
      </c>
      <c r="C43" s="201">
        <f>SUM(C7:C41)</f>
        <v>28960.899999999998</v>
      </c>
      <c r="D43" s="201">
        <f aca="true" t="shared" si="2" ref="D43:K43">SUM(D7:D41)</f>
        <v>4535.3</v>
      </c>
      <c r="E43" s="201">
        <f t="shared" si="2"/>
        <v>57690.7</v>
      </c>
      <c r="F43" s="201">
        <f t="shared" si="2"/>
        <v>7496.5</v>
      </c>
      <c r="G43" s="202">
        <f t="shared" si="2"/>
        <v>98683.4</v>
      </c>
      <c r="H43" s="202">
        <f t="shared" si="2"/>
        <v>51857.88921568628</v>
      </c>
      <c r="I43" s="202">
        <f>SUM(I7:I42)</f>
        <v>9460.9</v>
      </c>
      <c r="J43" s="202">
        <f t="shared" si="2"/>
        <v>14945.84431372549</v>
      </c>
      <c r="K43" s="219">
        <f t="shared" si="2"/>
        <v>22418.766470588234</v>
      </c>
    </row>
  </sheetData>
  <sheetProtection/>
  <mergeCells count="15">
    <mergeCell ref="A6:K6"/>
    <mergeCell ref="A21:K21"/>
    <mergeCell ref="A36:K36"/>
    <mergeCell ref="I2:I4"/>
    <mergeCell ref="D2:D4"/>
    <mergeCell ref="A1:K1"/>
    <mergeCell ref="A2:A4"/>
    <mergeCell ref="B2:B4"/>
    <mergeCell ref="C2:C4"/>
    <mergeCell ref="K2:K4"/>
    <mergeCell ref="J2:J4"/>
    <mergeCell ref="E2:E4"/>
    <mergeCell ref="G2:G4"/>
    <mergeCell ref="F2:F4"/>
    <mergeCell ref="H2:H4"/>
  </mergeCells>
  <printOptions/>
  <pageMargins left="1.14" right="0.31496062992125984" top="0.7480314960629921" bottom="0.7480314960629921" header="0.31496062992125984" footer="0.31496062992125984"/>
  <pageSetup firstPageNumber="112" useFirstPageNumber="1" fitToWidth="0" horizontalDpi="600" verticalDpi="600" orientation="portrait" paperSize="9" scale="7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Q43"/>
  <sheetViews>
    <sheetView tabSelected="1" view="pageBreakPreview" zoomScale="85" zoomScaleNormal="160" zoomScaleSheetLayoutView="85" zoomScalePageLayoutView="0" workbookViewId="0" topLeftCell="A1">
      <selection activeCell="M43" sqref="M43:Q43"/>
    </sheetView>
  </sheetViews>
  <sheetFormatPr defaultColWidth="9.140625" defaultRowHeight="15"/>
  <cols>
    <col min="1" max="1" width="4.57421875" style="117" customWidth="1"/>
    <col min="2" max="2" width="14.8515625" style="117" customWidth="1"/>
    <col min="3" max="3" width="9.421875" style="117" customWidth="1"/>
    <col min="4" max="4" width="9.7109375" style="117" customWidth="1"/>
    <col min="5" max="6" width="13.140625" style="117" customWidth="1"/>
    <col min="7" max="8" width="9.421875" style="117" hidden="1" customWidth="1"/>
    <col min="9" max="9" width="11.140625" style="117" customWidth="1"/>
    <col min="10" max="11" width="14.140625" style="117" customWidth="1"/>
    <col min="12" max="12" width="13.28125" style="117" customWidth="1"/>
    <col min="13" max="13" width="17.421875" style="117" customWidth="1"/>
    <col min="14" max="14" width="8.57421875" style="117" customWidth="1"/>
    <col min="15" max="15" width="9.7109375" style="117" customWidth="1"/>
    <col min="16" max="16" width="10.8515625" style="117" customWidth="1"/>
    <col min="17" max="17" width="11.28125" style="122" bestFit="1" customWidth="1"/>
    <col min="18" max="16384" width="9.140625" style="122" customWidth="1"/>
  </cols>
  <sheetData>
    <row r="1" spans="1:17" ht="16.5" thickBot="1">
      <c r="A1" s="271" t="s">
        <v>75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</row>
    <row r="2" spans="1:17" s="117" customFormat="1" ht="50.25" customHeight="1">
      <c r="A2" s="226" t="s">
        <v>0</v>
      </c>
      <c r="B2" s="252" t="s">
        <v>77</v>
      </c>
      <c r="C2" s="257" t="s">
        <v>118</v>
      </c>
      <c r="D2" s="257" t="s">
        <v>117</v>
      </c>
      <c r="E2" s="282" t="s">
        <v>113</v>
      </c>
      <c r="F2" s="282"/>
      <c r="G2" s="282"/>
      <c r="H2" s="282"/>
      <c r="I2" s="282"/>
      <c r="J2" s="282"/>
      <c r="K2" s="282"/>
      <c r="L2" s="232" t="s">
        <v>119</v>
      </c>
      <c r="M2" s="232" t="s">
        <v>88</v>
      </c>
      <c r="N2" s="220" t="s">
        <v>89</v>
      </c>
      <c r="O2" s="220" t="s">
        <v>90</v>
      </c>
      <c r="P2" s="239" t="s">
        <v>120</v>
      </c>
      <c r="Q2" s="236" t="s">
        <v>73</v>
      </c>
    </row>
    <row r="3" spans="1:17" s="117" customFormat="1" ht="50.25" customHeight="1">
      <c r="A3" s="227"/>
      <c r="B3" s="253"/>
      <c r="C3" s="258"/>
      <c r="D3" s="258"/>
      <c r="E3" s="276" t="s">
        <v>114</v>
      </c>
      <c r="F3" s="276" t="s">
        <v>128</v>
      </c>
      <c r="G3" s="258" t="s">
        <v>124</v>
      </c>
      <c r="H3" s="258" t="s">
        <v>126</v>
      </c>
      <c r="I3" s="277" t="s">
        <v>127</v>
      </c>
      <c r="J3" s="277"/>
      <c r="K3" s="277"/>
      <c r="L3" s="233"/>
      <c r="M3" s="233"/>
      <c r="N3" s="221"/>
      <c r="O3" s="221"/>
      <c r="P3" s="240"/>
      <c r="Q3" s="237"/>
    </row>
    <row r="4" spans="1:17" s="117" customFormat="1" ht="111" customHeight="1" thickBot="1">
      <c r="A4" s="274"/>
      <c r="B4" s="275"/>
      <c r="C4" s="276"/>
      <c r="D4" s="276"/>
      <c r="E4" s="281"/>
      <c r="F4" s="281"/>
      <c r="G4" s="258"/>
      <c r="H4" s="258"/>
      <c r="I4" s="211" t="s">
        <v>125</v>
      </c>
      <c r="J4" s="211" t="s">
        <v>116</v>
      </c>
      <c r="K4" s="211" t="s">
        <v>115</v>
      </c>
      <c r="L4" s="233"/>
      <c r="M4" s="233"/>
      <c r="N4" s="221"/>
      <c r="O4" s="221"/>
      <c r="P4" s="240"/>
      <c r="Q4" s="237"/>
    </row>
    <row r="5" spans="1:17" s="117" customFormat="1" ht="13.5" thickBot="1">
      <c r="A5" s="155">
        <v>1</v>
      </c>
      <c r="B5" s="156">
        <v>2</v>
      </c>
      <c r="C5" s="170">
        <v>29</v>
      </c>
      <c r="D5" s="170">
        <v>30</v>
      </c>
      <c r="E5" s="170">
        <v>31</v>
      </c>
      <c r="F5" s="213">
        <v>32</v>
      </c>
      <c r="G5" s="212">
        <v>32</v>
      </c>
      <c r="H5" s="212">
        <v>33</v>
      </c>
      <c r="I5" s="212">
        <v>33</v>
      </c>
      <c r="J5" s="212">
        <v>34</v>
      </c>
      <c r="K5" s="212">
        <v>35</v>
      </c>
      <c r="L5" s="212">
        <v>36</v>
      </c>
      <c r="M5" s="212">
        <v>37</v>
      </c>
      <c r="N5" s="212">
        <v>38</v>
      </c>
      <c r="O5" s="212">
        <v>39</v>
      </c>
      <c r="P5" s="212">
        <v>40</v>
      </c>
      <c r="Q5" s="212">
        <v>41</v>
      </c>
    </row>
    <row r="6" spans="1:17" ht="16.5" thickBot="1">
      <c r="A6" s="278" t="s">
        <v>92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</row>
    <row r="7" spans="1:17" s="111" customFormat="1" ht="16.5" thickBot="1">
      <c r="A7" s="158">
        <v>1</v>
      </c>
      <c r="B7" s="192" t="s">
        <v>3</v>
      </c>
      <c r="C7" s="161"/>
      <c r="D7" s="161"/>
      <c r="E7" s="161">
        <v>46725.12</v>
      </c>
      <c r="F7" s="161">
        <f>G7+H7</f>
        <v>44185.119999999995</v>
      </c>
      <c r="G7" s="161">
        <v>30013.07</v>
      </c>
      <c r="H7" s="161">
        <v>14172.05</v>
      </c>
      <c r="I7" s="161">
        <v>2540</v>
      </c>
      <c r="J7" s="161">
        <v>1740</v>
      </c>
      <c r="K7" s="161">
        <v>800</v>
      </c>
      <c r="L7" s="161"/>
      <c r="M7" s="203">
        <f aca="true" t="shared" si="0" ref="M7:M20">C7+D7+E7+L7</f>
        <v>46725.12</v>
      </c>
      <c r="N7" s="161"/>
      <c r="O7" s="161">
        <f>J7</f>
        <v>1740</v>
      </c>
      <c r="P7" s="161">
        <f>((((C7+L7)/1.7)*0.7)*0.4)+K7+H7</f>
        <v>14972.05</v>
      </c>
      <c r="Q7" s="194">
        <f>((((C7+L7)/1.7)*0.7)*0.6)+G7</f>
        <v>30013.07</v>
      </c>
    </row>
    <row r="8" spans="1:17" s="111" customFormat="1" ht="16.5" thickBot="1">
      <c r="A8" s="97">
        <f aca="true" t="shared" si="1" ref="A8:A20">A7+1</f>
        <v>2</v>
      </c>
      <c r="B8" s="175" t="s">
        <v>2</v>
      </c>
      <c r="C8" s="108"/>
      <c r="D8" s="108"/>
      <c r="E8" s="108">
        <v>150</v>
      </c>
      <c r="F8" s="161">
        <f aca="true" t="shared" si="2" ref="F8:F35">G8+H8</f>
        <v>0</v>
      </c>
      <c r="G8" s="108"/>
      <c r="H8" s="108"/>
      <c r="I8" s="108">
        <v>150</v>
      </c>
      <c r="J8" s="108">
        <v>100</v>
      </c>
      <c r="K8" s="108">
        <v>50</v>
      </c>
      <c r="L8" s="108"/>
      <c r="M8" s="121">
        <f t="shared" si="0"/>
        <v>150</v>
      </c>
      <c r="N8" s="108"/>
      <c r="O8" s="161">
        <f aca="true" t="shared" si="3" ref="O8:O20">J8</f>
        <v>100</v>
      </c>
      <c r="P8" s="161">
        <f aca="true" t="shared" si="4" ref="P8:P20">((((C8+L8)/1.7)*0.7)*0.4)+K8+H8</f>
        <v>50</v>
      </c>
      <c r="Q8" s="109"/>
    </row>
    <row r="9" spans="1:17" s="111" customFormat="1" ht="16.5" thickBot="1">
      <c r="A9" s="97">
        <f t="shared" si="1"/>
        <v>3</v>
      </c>
      <c r="B9" s="175" t="s">
        <v>6</v>
      </c>
      <c r="C9" s="108">
        <v>6180</v>
      </c>
      <c r="D9" s="108"/>
      <c r="E9" s="108">
        <v>25353.1</v>
      </c>
      <c r="F9" s="161">
        <f t="shared" si="2"/>
        <v>24033.1</v>
      </c>
      <c r="G9" s="108">
        <v>16408.2</v>
      </c>
      <c r="H9" s="108">
        <v>7624.9</v>
      </c>
      <c r="I9" s="108">
        <v>1320</v>
      </c>
      <c r="J9" s="108">
        <v>920</v>
      </c>
      <c r="K9" s="108">
        <v>400</v>
      </c>
      <c r="L9" s="108"/>
      <c r="M9" s="121">
        <f t="shared" si="0"/>
        <v>31533.1</v>
      </c>
      <c r="N9" s="108">
        <f>((C9+L9)/1.7)+D9</f>
        <v>3635.294117647059</v>
      </c>
      <c r="O9" s="161">
        <f t="shared" si="3"/>
        <v>920</v>
      </c>
      <c r="P9" s="161">
        <f t="shared" si="4"/>
        <v>9042.782352941176</v>
      </c>
      <c r="Q9" s="109">
        <f>((((C9+L9)/1.7)*0.7)*0.6)+G9</f>
        <v>17935.023529411767</v>
      </c>
    </row>
    <row r="10" spans="1:17" s="111" customFormat="1" ht="16.5" thickBot="1">
      <c r="A10" s="97">
        <f t="shared" si="1"/>
        <v>4</v>
      </c>
      <c r="B10" s="175" t="s">
        <v>8</v>
      </c>
      <c r="C10" s="108">
        <v>450</v>
      </c>
      <c r="D10" s="108">
        <v>270</v>
      </c>
      <c r="E10" s="108">
        <v>55388</v>
      </c>
      <c r="F10" s="161">
        <f t="shared" si="2"/>
        <v>55120</v>
      </c>
      <c r="G10" s="108">
        <v>41740</v>
      </c>
      <c r="H10" s="108">
        <v>13380</v>
      </c>
      <c r="I10" s="108">
        <v>268</v>
      </c>
      <c r="J10" s="108">
        <v>100</v>
      </c>
      <c r="K10" s="108">
        <v>168</v>
      </c>
      <c r="L10" s="108"/>
      <c r="M10" s="121">
        <f t="shared" si="0"/>
        <v>56108</v>
      </c>
      <c r="N10" s="108">
        <f>((C10+L10)/1.7)+D10</f>
        <v>534.7058823529412</v>
      </c>
      <c r="O10" s="161">
        <f t="shared" si="3"/>
        <v>100</v>
      </c>
      <c r="P10" s="161">
        <f t="shared" si="4"/>
        <v>13622.117647058823</v>
      </c>
      <c r="Q10" s="109">
        <f>((((C10+L10)/1.7)*0.7)*0.6)+G10</f>
        <v>41851.17647058824</v>
      </c>
    </row>
    <row r="11" spans="1:17" s="111" customFormat="1" ht="16.5" thickBot="1">
      <c r="A11" s="97">
        <f t="shared" si="1"/>
        <v>5</v>
      </c>
      <c r="B11" s="175" t="s">
        <v>9</v>
      </c>
      <c r="C11" s="108">
        <v>5170</v>
      </c>
      <c r="D11" s="108">
        <v>180</v>
      </c>
      <c r="E11" s="108">
        <v>1840</v>
      </c>
      <c r="F11" s="161">
        <f t="shared" si="2"/>
        <v>0</v>
      </c>
      <c r="G11" s="108"/>
      <c r="H11" s="108"/>
      <c r="I11" s="108">
        <v>1840</v>
      </c>
      <c r="J11" s="108">
        <v>1680</v>
      </c>
      <c r="K11" s="108">
        <v>160</v>
      </c>
      <c r="L11" s="108"/>
      <c r="M11" s="121">
        <f t="shared" si="0"/>
        <v>7190</v>
      </c>
      <c r="N11" s="108">
        <f>((C11+L11)/1.7)+D11</f>
        <v>3221.1764705882356</v>
      </c>
      <c r="O11" s="161">
        <f t="shared" si="3"/>
        <v>1680</v>
      </c>
      <c r="P11" s="161">
        <f t="shared" si="4"/>
        <v>1011.529411764706</v>
      </c>
      <c r="Q11" s="109">
        <f>((((C11+L11)/1.7)*0.7)*0.6)+G11</f>
        <v>1277.2941176470588</v>
      </c>
    </row>
    <row r="12" spans="1:17" s="111" customFormat="1" ht="16.5" thickBot="1">
      <c r="A12" s="97">
        <f t="shared" si="1"/>
        <v>6</v>
      </c>
      <c r="B12" s="175" t="s">
        <v>7</v>
      </c>
      <c r="C12" s="108">
        <v>2000</v>
      </c>
      <c r="D12" s="108">
        <v>200</v>
      </c>
      <c r="E12" s="108">
        <v>6130</v>
      </c>
      <c r="F12" s="161">
        <f t="shared" si="2"/>
        <v>4973</v>
      </c>
      <c r="G12" s="108"/>
      <c r="H12" s="108">
        <v>4973</v>
      </c>
      <c r="I12" s="108">
        <v>1157</v>
      </c>
      <c r="J12" s="108">
        <v>910</v>
      </c>
      <c r="K12" s="108">
        <v>247</v>
      </c>
      <c r="L12" s="108"/>
      <c r="M12" s="121">
        <f t="shared" si="0"/>
        <v>8330</v>
      </c>
      <c r="N12" s="108">
        <f>((C12+L12)/1.7)+D12</f>
        <v>1376.4705882352941</v>
      </c>
      <c r="O12" s="161">
        <f t="shared" si="3"/>
        <v>910</v>
      </c>
      <c r="P12" s="161">
        <f t="shared" si="4"/>
        <v>5549.411764705883</v>
      </c>
      <c r="Q12" s="109">
        <f>((((C12+L12)/1.7)*0.7)*0.6)+G12</f>
        <v>494.1176470588235</v>
      </c>
    </row>
    <row r="13" spans="1:17" s="111" customFormat="1" ht="16.5" thickBot="1">
      <c r="A13" s="97">
        <f t="shared" si="1"/>
        <v>7</v>
      </c>
      <c r="B13" s="175" t="s">
        <v>57</v>
      </c>
      <c r="C13" s="108">
        <v>11644.2</v>
      </c>
      <c r="D13" s="108"/>
      <c r="E13" s="108">
        <v>27754.5</v>
      </c>
      <c r="F13" s="161">
        <f t="shared" si="2"/>
        <v>24664.5</v>
      </c>
      <c r="G13" s="108">
        <v>19831.5</v>
      </c>
      <c r="H13" s="108">
        <v>4833</v>
      </c>
      <c r="I13" s="108">
        <v>3090</v>
      </c>
      <c r="J13" s="108">
        <v>1090</v>
      </c>
      <c r="K13" s="108">
        <v>2000</v>
      </c>
      <c r="L13" s="108"/>
      <c r="M13" s="121">
        <f t="shared" si="0"/>
        <v>39398.7</v>
      </c>
      <c r="N13" s="108">
        <f>((C13+L13)/1.7)+D13</f>
        <v>6849.529411764706</v>
      </c>
      <c r="O13" s="161">
        <f t="shared" si="3"/>
        <v>1090</v>
      </c>
      <c r="P13" s="161">
        <f t="shared" si="4"/>
        <v>8750.868235294118</v>
      </c>
      <c r="Q13" s="109">
        <f>((((C13+L13)/1.7)*0.7)*0.6)+G13</f>
        <v>22708.302352941177</v>
      </c>
    </row>
    <row r="14" spans="1:17" s="137" customFormat="1" ht="16.5" thickBot="1">
      <c r="A14" s="138">
        <f t="shared" si="1"/>
        <v>8</v>
      </c>
      <c r="B14" s="175" t="s">
        <v>1</v>
      </c>
      <c r="C14" s="134">
        <v>2317.7</v>
      </c>
      <c r="D14" s="134"/>
      <c r="E14" s="134">
        <v>406</v>
      </c>
      <c r="F14" s="161">
        <f t="shared" si="2"/>
        <v>0</v>
      </c>
      <c r="G14" s="134"/>
      <c r="H14" s="134"/>
      <c r="I14" s="134">
        <v>406</v>
      </c>
      <c r="J14" s="134">
        <v>220</v>
      </c>
      <c r="K14" s="134">
        <v>186</v>
      </c>
      <c r="L14" s="134"/>
      <c r="M14" s="136">
        <f t="shared" si="0"/>
        <v>2723.7</v>
      </c>
      <c r="N14" s="134">
        <f>((C14+L14)/2)+D14</f>
        <v>1158.85</v>
      </c>
      <c r="O14" s="161">
        <f t="shared" si="3"/>
        <v>220</v>
      </c>
      <c r="P14" s="134">
        <f>((((C14+L14)/2)*1)*0.4)+K14+H14</f>
        <v>649.54</v>
      </c>
      <c r="Q14" s="145">
        <f>((((C14+L14)/2)*1)*0.6)+G14</f>
        <v>695.31</v>
      </c>
    </row>
    <row r="15" spans="1:17" s="111" customFormat="1" ht="16.5" thickBot="1">
      <c r="A15" s="97">
        <f t="shared" si="1"/>
        <v>9</v>
      </c>
      <c r="B15" s="175" t="s">
        <v>62</v>
      </c>
      <c r="C15" s="108">
        <v>1330</v>
      </c>
      <c r="D15" s="108"/>
      <c r="E15" s="108">
        <v>656</v>
      </c>
      <c r="F15" s="161">
        <f t="shared" si="2"/>
        <v>0</v>
      </c>
      <c r="G15" s="108"/>
      <c r="H15" s="108"/>
      <c r="I15" s="108">
        <v>656</v>
      </c>
      <c r="J15" s="108">
        <v>550</v>
      </c>
      <c r="K15" s="108">
        <v>106</v>
      </c>
      <c r="L15" s="108"/>
      <c r="M15" s="121">
        <f t="shared" si="0"/>
        <v>1986</v>
      </c>
      <c r="N15" s="108">
        <f>((C15+L15)/1.7)+D15</f>
        <v>782.3529411764706</v>
      </c>
      <c r="O15" s="161">
        <f t="shared" si="3"/>
        <v>550</v>
      </c>
      <c r="P15" s="161">
        <f t="shared" si="4"/>
        <v>325.05882352941177</v>
      </c>
      <c r="Q15" s="109">
        <f aca="true" t="shared" si="5" ref="Q15:Q20">((((C15+L15)/1.7)*0.7)*0.6)+G15</f>
        <v>328.5882352941176</v>
      </c>
    </row>
    <row r="16" spans="1:17" s="111" customFormat="1" ht="16.5" thickBot="1">
      <c r="A16" s="97">
        <f t="shared" si="1"/>
        <v>10</v>
      </c>
      <c r="B16" s="175" t="s">
        <v>5</v>
      </c>
      <c r="C16" s="108"/>
      <c r="D16" s="108">
        <v>4000</v>
      </c>
      <c r="E16" s="108">
        <v>62987.13</v>
      </c>
      <c r="F16" s="161">
        <f t="shared" si="2"/>
        <v>62107.13</v>
      </c>
      <c r="G16" s="108">
        <v>50768.85</v>
      </c>
      <c r="H16" s="108">
        <v>11338.28</v>
      </c>
      <c r="I16" s="108">
        <v>880</v>
      </c>
      <c r="J16" s="108">
        <v>600</v>
      </c>
      <c r="K16" s="108">
        <v>280</v>
      </c>
      <c r="L16" s="108"/>
      <c r="M16" s="121">
        <f t="shared" si="0"/>
        <v>66987.13</v>
      </c>
      <c r="N16" s="108">
        <f>((C16+L16)/1.7)+D16</f>
        <v>4000</v>
      </c>
      <c r="O16" s="161">
        <f t="shared" si="3"/>
        <v>600</v>
      </c>
      <c r="P16" s="161">
        <f t="shared" si="4"/>
        <v>11618.28</v>
      </c>
      <c r="Q16" s="109">
        <f t="shared" si="5"/>
        <v>50768.85</v>
      </c>
    </row>
    <row r="17" spans="1:17" s="111" customFormat="1" ht="16.5" thickBot="1">
      <c r="A17" s="97">
        <f t="shared" si="1"/>
        <v>11</v>
      </c>
      <c r="B17" s="175" t="s">
        <v>93</v>
      </c>
      <c r="C17" s="108"/>
      <c r="D17" s="108"/>
      <c r="E17" s="108">
        <v>99430</v>
      </c>
      <c r="F17" s="161">
        <f t="shared" si="2"/>
        <v>98550</v>
      </c>
      <c r="G17" s="108">
        <v>49084</v>
      </c>
      <c r="H17" s="108">
        <v>49466</v>
      </c>
      <c r="I17" s="108">
        <v>880</v>
      </c>
      <c r="J17" s="108">
        <v>600</v>
      </c>
      <c r="K17" s="108">
        <v>280</v>
      </c>
      <c r="L17" s="108"/>
      <c r="M17" s="121">
        <f t="shared" si="0"/>
        <v>99430</v>
      </c>
      <c r="N17" s="108"/>
      <c r="O17" s="161">
        <f t="shared" si="3"/>
        <v>600</v>
      </c>
      <c r="P17" s="161">
        <f t="shared" si="4"/>
        <v>49746</v>
      </c>
      <c r="Q17" s="109">
        <f t="shared" si="5"/>
        <v>49084</v>
      </c>
    </row>
    <row r="18" spans="1:17" s="111" customFormat="1" ht="16.5" thickBot="1">
      <c r="A18" s="97">
        <f t="shared" si="1"/>
        <v>12</v>
      </c>
      <c r="B18" s="175" t="s">
        <v>27</v>
      </c>
      <c r="C18" s="108">
        <v>2285</v>
      </c>
      <c r="D18" s="108">
        <v>1677</v>
      </c>
      <c r="E18" s="108">
        <v>9098</v>
      </c>
      <c r="F18" s="161">
        <f t="shared" si="2"/>
        <v>9078</v>
      </c>
      <c r="G18" s="108">
        <v>7803</v>
      </c>
      <c r="H18" s="108">
        <v>1275</v>
      </c>
      <c r="I18" s="108">
        <v>20</v>
      </c>
      <c r="J18" s="108">
        <v>20</v>
      </c>
      <c r="K18" s="108"/>
      <c r="L18" s="108"/>
      <c r="M18" s="121">
        <f t="shared" si="0"/>
        <v>13060</v>
      </c>
      <c r="N18" s="108">
        <f>((C18+L18)/1.7)+D18</f>
        <v>3021.1176470588234</v>
      </c>
      <c r="O18" s="161">
        <f t="shared" si="3"/>
        <v>20</v>
      </c>
      <c r="P18" s="161">
        <f t="shared" si="4"/>
        <v>1651.3529411764707</v>
      </c>
      <c r="Q18" s="109">
        <f t="shared" si="5"/>
        <v>8367.529411764706</v>
      </c>
    </row>
    <row r="19" spans="1:17" s="111" customFormat="1" ht="16.5" thickBot="1">
      <c r="A19" s="97">
        <f t="shared" si="1"/>
        <v>13</v>
      </c>
      <c r="B19" s="175" t="s">
        <v>10</v>
      </c>
      <c r="C19" s="108"/>
      <c r="D19" s="108"/>
      <c r="E19" s="108">
        <v>20</v>
      </c>
      <c r="F19" s="161">
        <f t="shared" si="2"/>
        <v>0</v>
      </c>
      <c r="G19" s="108"/>
      <c r="H19" s="108"/>
      <c r="I19" s="108">
        <v>20</v>
      </c>
      <c r="J19" s="108">
        <v>20</v>
      </c>
      <c r="K19" s="108"/>
      <c r="L19" s="108"/>
      <c r="M19" s="121">
        <f t="shared" si="0"/>
        <v>20</v>
      </c>
      <c r="N19" s="108"/>
      <c r="O19" s="161">
        <f t="shared" si="3"/>
        <v>20</v>
      </c>
      <c r="P19" s="161">
        <f t="shared" si="4"/>
        <v>0</v>
      </c>
      <c r="Q19" s="109">
        <f t="shared" si="5"/>
        <v>0</v>
      </c>
    </row>
    <row r="20" spans="1:17" s="111" customFormat="1" ht="16.5" thickBot="1">
      <c r="A20" s="141">
        <f t="shared" si="1"/>
        <v>14</v>
      </c>
      <c r="B20" s="189" t="s">
        <v>94</v>
      </c>
      <c r="C20" s="143">
        <v>1578.1</v>
      </c>
      <c r="D20" s="143">
        <v>500</v>
      </c>
      <c r="E20" s="143">
        <v>17406</v>
      </c>
      <c r="F20" s="161">
        <f t="shared" si="2"/>
        <v>16876</v>
      </c>
      <c r="G20" s="143">
        <v>5004</v>
      </c>
      <c r="H20" s="143">
        <v>11872</v>
      </c>
      <c r="I20" s="143">
        <v>530</v>
      </c>
      <c r="J20" s="143">
        <v>330</v>
      </c>
      <c r="K20" s="143">
        <v>200</v>
      </c>
      <c r="L20" s="143"/>
      <c r="M20" s="171">
        <f t="shared" si="0"/>
        <v>19484.1</v>
      </c>
      <c r="N20" s="143">
        <f>((C20+L20)/1.7)+D20</f>
        <v>1428.2941176470588</v>
      </c>
      <c r="O20" s="161">
        <f t="shared" si="3"/>
        <v>330</v>
      </c>
      <c r="P20" s="161">
        <f t="shared" si="4"/>
        <v>12331.922352941176</v>
      </c>
      <c r="Q20" s="191">
        <f t="shared" si="5"/>
        <v>5393.883529411764</v>
      </c>
    </row>
    <row r="21" spans="1:17" s="111" customFormat="1" ht="16.5" thickBot="1">
      <c r="A21" s="245" t="s">
        <v>95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</row>
    <row r="22" spans="1:17" s="111" customFormat="1" ht="17.25" customHeight="1" thickBot="1">
      <c r="A22" s="158">
        <v>1</v>
      </c>
      <c r="B22" s="192" t="s">
        <v>14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203"/>
      <c r="N22" s="161"/>
      <c r="O22" s="161"/>
      <c r="P22" s="108"/>
      <c r="Q22" s="194"/>
    </row>
    <row r="23" spans="1:17" s="111" customFormat="1" ht="16.5" thickBot="1">
      <c r="A23" s="97">
        <f aca="true" t="shared" si="6" ref="A23:A35">A22+1</f>
        <v>2</v>
      </c>
      <c r="B23" s="176" t="s">
        <v>34</v>
      </c>
      <c r="C23" s="108"/>
      <c r="D23" s="108"/>
      <c r="E23" s="108"/>
      <c r="F23" s="161"/>
      <c r="G23" s="108"/>
      <c r="H23" s="108"/>
      <c r="I23" s="108"/>
      <c r="J23" s="108"/>
      <c r="K23" s="108"/>
      <c r="L23" s="108"/>
      <c r="M23" s="121"/>
      <c r="N23" s="108"/>
      <c r="O23" s="108"/>
      <c r="P23" s="108"/>
      <c r="Q23" s="109"/>
    </row>
    <row r="24" spans="1:17" ht="16.5" thickBot="1">
      <c r="A24" s="97">
        <f t="shared" si="6"/>
        <v>3</v>
      </c>
      <c r="B24" s="176" t="s">
        <v>96</v>
      </c>
      <c r="C24" s="108"/>
      <c r="D24" s="108"/>
      <c r="E24" s="108"/>
      <c r="F24" s="161"/>
      <c r="G24" s="108"/>
      <c r="H24" s="108"/>
      <c r="I24" s="108"/>
      <c r="J24" s="108"/>
      <c r="K24" s="108"/>
      <c r="L24" s="108"/>
      <c r="M24" s="121"/>
      <c r="N24" s="108"/>
      <c r="O24" s="108"/>
      <c r="P24" s="108"/>
      <c r="Q24" s="109"/>
    </row>
    <row r="25" spans="1:17" ht="16.5" thickBot="1">
      <c r="A25" s="97">
        <f t="shared" si="6"/>
        <v>4</v>
      </c>
      <c r="B25" s="176" t="s">
        <v>28</v>
      </c>
      <c r="C25" s="108"/>
      <c r="D25" s="108"/>
      <c r="E25" s="108"/>
      <c r="F25" s="161"/>
      <c r="G25" s="108"/>
      <c r="H25" s="108"/>
      <c r="I25" s="108"/>
      <c r="J25" s="108"/>
      <c r="K25" s="108"/>
      <c r="L25" s="108"/>
      <c r="M25" s="121"/>
      <c r="N25" s="108"/>
      <c r="O25" s="108"/>
      <c r="P25" s="108"/>
      <c r="Q25" s="109"/>
    </row>
    <row r="26" spans="1:17" s="111" customFormat="1" ht="16.5" thickBot="1">
      <c r="A26" s="97">
        <f t="shared" si="6"/>
        <v>5</v>
      </c>
      <c r="B26" s="175" t="s">
        <v>97</v>
      </c>
      <c r="C26" s="108">
        <v>1200</v>
      </c>
      <c r="D26" s="108"/>
      <c r="E26" s="108">
        <v>750</v>
      </c>
      <c r="F26" s="161"/>
      <c r="G26" s="108"/>
      <c r="H26" s="108"/>
      <c r="I26" s="108">
        <v>750</v>
      </c>
      <c r="J26" s="108">
        <v>620</v>
      </c>
      <c r="K26" s="108">
        <v>130</v>
      </c>
      <c r="L26" s="108"/>
      <c r="M26" s="121">
        <f aca="true" t="shared" si="7" ref="M26:M35">C26+D26+E26+L26</f>
        <v>1950</v>
      </c>
      <c r="N26" s="108">
        <f aca="true" t="shared" si="8" ref="N26:N35">((C26+L26)/1.2)+D26</f>
        <v>1000</v>
      </c>
      <c r="O26" s="108">
        <f>J26</f>
        <v>620</v>
      </c>
      <c r="P26" s="108">
        <f aca="true" t="shared" si="9" ref="P26:P35">((((C26+L26)/1.2)*0.2)*0.4)+K26+H26</f>
        <v>210</v>
      </c>
      <c r="Q26" s="109">
        <f aca="true" t="shared" si="10" ref="Q26:Q35">((((C26+L26)/1.2)*0.2)*0.6)+G26</f>
        <v>120</v>
      </c>
    </row>
    <row r="27" spans="1:17" s="128" customFormat="1" ht="16.5" thickBot="1">
      <c r="A27" s="97">
        <f t="shared" si="6"/>
        <v>6</v>
      </c>
      <c r="B27" s="175" t="s">
        <v>98</v>
      </c>
      <c r="C27" s="108"/>
      <c r="D27" s="108">
        <v>296</v>
      </c>
      <c r="E27" s="108">
        <v>3535</v>
      </c>
      <c r="F27" s="161">
        <f t="shared" si="2"/>
        <v>3315</v>
      </c>
      <c r="G27" s="108">
        <v>1404</v>
      </c>
      <c r="H27" s="108">
        <v>1911</v>
      </c>
      <c r="I27" s="108">
        <v>220</v>
      </c>
      <c r="J27" s="108">
        <v>200</v>
      </c>
      <c r="K27" s="108">
        <v>20</v>
      </c>
      <c r="L27" s="108">
        <v>942.3</v>
      </c>
      <c r="M27" s="121">
        <f t="shared" si="7"/>
        <v>4773.3</v>
      </c>
      <c r="N27" s="108">
        <f t="shared" si="8"/>
        <v>1081.25</v>
      </c>
      <c r="O27" s="108">
        <f aca="true" t="shared" si="11" ref="O27:O35">J27</f>
        <v>200</v>
      </c>
      <c r="P27" s="108">
        <f t="shared" si="9"/>
        <v>1993.82</v>
      </c>
      <c r="Q27" s="109">
        <f t="shared" si="10"/>
        <v>1498.23</v>
      </c>
    </row>
    <row r="28" spans="1:17" ht="16.5" thickBot="1">
      <c r="A28" s="97">
        <f t="shared" si="6"/>
        <v>7</v>
      </c>
      <c r="B28" s="176" t="s">
        <v>58</v>
      </c>
      <c r="C28" s="108">
        <v>500</v>
      </c>
      <c r="D28" s="108">
        <v>200</v>
      </c>
      <c r="E28" s="108"/>
      <c r="F28" s="161"/>
      <c r="G28" s="108"/>
      <c r="H28" s="108"/>
      <c r="I28" s="108"/>
      <c r="J28" s="108"/>
      <c r="K28" s="108"/>
      <c r="L28" s="108"/>
      <c r="M28" s="121">
        <f t="shared" si="7"/>
        <v>700</v>
      </c>
      <c r="N28" s="108">
        <f t="shared" si="8"/>
        <v>616.6666666666667</v>
      </c>
      <c r="O28" s="108">
        <f t="shared" si="11"/>
        <v>0</v>
      </c>
      <c r="P28" s="108">
        <f t="shared" si="9"/>
        <v>33.333333333333336</v>
      </c>
      <c r="Q28" s="109">
        <f t="shared" si="10"/>
        <v>50.00000000000001</v>
      </c>
    </row>
    <row r="29" spans="1:17" ht="16.5" thickBot="1">
      <c r="A29" s="97">
        <f t="shared" si="6"/>
        <v>8</v>
      </c>
      <c r="B29" s="176" t="s">
        <v>29</v>
      </c>
      <c r="C29" s="108"/>
      <c r="D29" s="108"/>
      <c r="E29" s="108"/>
      <c r="F29" s="161"/>
      <c r="G29" s="108"/>
      <c r="H29" s="108"/>
      <c r="I29" s="108"/>
      <c r="J29" s="108"/>
      <c r="K29" s="108"/>
      <c r="L29" s="108"/>
      <c r="M29" s="121">
        <f t="shared" si="7"/>
        <v>0</v>
      </c>
      <c r="N29" s="108">
        <f t="shared" si="8"/>
        <v>0</v>
      </c>
      <c r="O29" s="108">
        <f t="shared" si="11"/>
        <v>0</v>
      </c>
      <c r="P29" s="108">
        <f t="shared" si="9"/>
        <v>0</v>
      </c>
      <c r="Q29" s="109">
        <f t="shared" si="10"/>
        <v>0</v>
      </c>
    </row>
    <row r="30" spans="1:17" ht="16.5" thickBot="1">
      <c r="A30" s="97">
        <f t="shared" si="6"/>
        <v>9</v>
      </c>
      <c r="B30" s="176" t="s">
        <v>99</v>
      </c>
      <c r="C30" s="108"/>
      <c r="D30" s="108">
        <v>600</v>
      </c>
      <c r="E30" s="108">
        <v>20122</v>
      </c>
      <c r="F30" s="161">
        <f t="shared" si="2"/>
        <v>19592</v>
      </c>
      <c r="G30" s="108">
        <v>15698</v>
      </c>
      <c r="H30" s="108">
        <v>3894</v>
      </c>
      <c r="I30" s="108">
        <v>530</v>
      </c>
      <c r="J30" s="108">
        <v>330</v>
      </c>
      <c r="K30" s="108">
        <v>200</v>
      </c>
      <c r="L30" s="108"/>
      <c r="M30" s="121">
        <f t="shared" si="7"/>
        <v>20722</v>
      </c>
      <c r="N30" s="108">
        <f t="shared" si="8"/>
        <v>600</v>
      </c>
      <c r="O30" s="108">
        <f t="shared" si="11"/>
        <v>330</v>
      </c>
      <c r="P30" s="108">
        <f t="shared" si="9"/>
        <v>4094</v>
      </c>
      <c r="Q30" s="109">
        <f t="shared" si="10"/>
        <v>15698</v>
      </c>
    </row>
    <row r="31" spans="1:17" ht="16.5" thickBot="1">
      <c r="A31" s="97">
        <f t="shared" si="6"/>
        <v>10</v>
      </c>
      <c r="B31" s="176" t="s">
        <v>32</v>
      </c>
      <c r="C31" s="108">
        <v>550</v>
      </c>
      <c r="D31" s="108">
        <v>110</v>
      </c>
      <c r="E31" s="108">
        <v>5036</v>
      </c>
      <c r="F31" s="161">
        <f t="shared" si="2"/>
        <v>3816</v>
      </c>
      <c r="G31" s="108">
        <v>2583</v>
      </c>
      <c r="H31" s="108">
        <v>1233</v>
      </c>
      <c r="I31" s="108">
        <v>1220</v>
      </c>
      <c r="J31" s="108">
        <v>1200</v>
      </c>
      <c r="K31" s="108">
        <v>20</v>
      </c>
      <c r="L31" s="108">
        <v>2020</v>
      </c>
      <c r="M31" s="121">
        <f t="shared" si="7"/>
        <v>7716</v>
      </c>
      <c r="N31" s="108">
        <f t="shared" si="8"/>
        <v>2251.666666666667</v>
      </c>
      <c r="O31" s="108">
        <f t="shared" si="11"/>
        <v>1200</v>
      </c>
      <c r="P31" s="108">
        <f t="shared" si="9"/>
        <v>1424.3333333333335</v>
      </c>
      <c r="Q31" s="109">
        <f t="shared" si="10"/>
        <v>2840</v>
      </c>
    </row>
    <row r="32" spans="1:17" ht="16.5" thickBot="1">
      <c r="A32" s="97">
        <f t="shared" si="6"/>
        <v>11</v>
      </c>
      <c r="B32" s="176" t="s">
        <v>42</v>
      </c>
      <c r="C32" s="108"/>
      <c r="D32" s="108"/>
      <c r="E32" s="108">
        <v>23</v>
      </c>
      <c r="F32" s="161"/>
      <c r="G32" s="108"/>
      <c r="H32" s="108"/>
      <c r="I32" s="108">
        <v>23</v>
      </c>
      <c r="J32" s="108">
        <v>20</v>
      </c>
      <c r="K32" s="108">
        <v>3</v>
      </c>
      <c r="L32" s="108"/>
      <c r="M32" s="121">
        <f t="shared" si="7"/>
        <v>23</v>
      </c>
      <c r="N32" s="108">
        <f t="shared" si="8"/>
        <v>0</v>
      </c>
      <c r="O32" s="108">
        <f t="shared" si="11"/>
        <v>20</v>
      </c>
      <c r="P32" s="108">
        <f t="shared" si="9"/>
        <v>3</v>
      </c>
      <c r="Q32" s="109">
        <f t="shared" si="10"/>
        <v>0</v>
      </c>
    </row>
    <row r="33" spans="1:17" ht="25.5" thickBot="1">
      <c r="A33" s="97">
        <f t="shared" si="6"/>
        <v>12</v>
      </c>
      <c r="B33" s="175" t="s">
        <v>100</v>
      </c>
      <c r="C33" s="108"/>
      <c r="D33" s="108"/>
      <c r="E33" s="108">
        <v>120</v>
      </c>
      <c r="F33" s="161"/>
      <c r="G33" s="108"/>
      <c r="H33" s="108"/>
      <c r="I33" s="108">
        <v>120</v>
      </c>
      <c r="J33" s="108">
        <v>100</v>
      </c>
      <c r="K33" s="108">
        <v>20</v>
      </c>
      <c r="L33" s="108"/>
      <c r="M33" s="121">
        <f t="shared" si="7"/>
        <v>120</v>
      </c>
      <c r="N33" s="108">
        <f t="shared" si="8"/>
        <v>0</v>
      </c>
      <c r="O33" s="108">
        <f t="shared" si="11"/>
        <v>100</v>
      </c>
      <c r="P33" s="108">
        <f t="shared" si="9"/>
        <v>20</v>
      </c>
      <c r="Q33" s="109">
        <f t="shared" si="10"/>
        <v>0</v>
      </c>
    </row>
    <row r="34" spans="1:17" ht="16.5" thickBot="1">
      <c r="A34" s="97">
        <f t="shared" si="6"/>
        <v>13</v>
      </c>
      <c r="B34" s="176" t="s">
        <v>101</v>
      </c>
      <c r="C34" s="108">
        <v>1000</v>
      </c>
      <c r="D34" s="108">
        <v>120</v>
      </c>
      <c r="E34" s="108">
        <v>3580</v>
      </c>
      <c r="F34" s="161">
        <f t="shared" si="2"/>
        <v>2800</v>
      </c>
      <c r="G34" s="108">
        <v>2020.1</v>
      </c>
      <c r="H34" s="108">
        <v>779.9</v>
      </c>
      <c r="I34" s="108">
        <v>780</v>
      </c>
      <c r="J34" s="108">
        <v>650</v>
      </c>
      <c r="K34" s="108">
        <v>130</v>
      </c>
      <c r="L34" s="108">
        <v>3712.3</v>
      </c>
      <c r="M34" s="121">
        <f t="shared" si="7"/>
        <v>8412.3</v>
      </c>
      <c r="N34" s="108">
        <f t="shared" si="8"/>
        <v>4046.916666666667</v>
      </c>
      <c r="O34" s="108">
        <f t="shared" si="11"/>
        <v>650</v>
      </c>
      <c r="P34" s="108">
        <f t="shared" si="9"/>
        <v>1224.0533333333333</v>
      </c>
      <c r="Q34" s="109">
        <f t="shared" si="10"/>
        <v>2491.33</v>
      </c>
    </row>
    <row r="35" spans="1:17" ht="16.5" thickBot="1">
      <c r="A35" s="141">
        <f t="shared" si="6"/>
        <v>14</v>
      </c>
      <c r="B35" s="195" t="s">
        <v>102</v>
      </c>
      <c r="C35" s="143">
        <v>1613.5</v>
      </c>
      <c r="D35" s="143">
        <v>420</v>
      </c>
      <c r="E35" s="143">
        <v>1261</v>
      </c>
      <c r="F35" s="161">
        <f t="shared" si="2"/>
        <v>1261</v>
      </c>
      <c r="G35" s="143">
        <v>654</v>
      </c>
      <c r="H35" s="143">
        <v>607</v>
      </c>
      <c r="I35" s="143"/>
      <c r="J35" s="143"/>
      <c r="K35" s="143"/>
      <c r="L35" s="143"/>
      <c r="M35" s="171">
        <f t="shared" si="7"/>
        <v>3294.5</v>
      </c>
      <c r="N35" s="143">
        <f t="shared" si="8"/>
        <v>1764.5833333333335</v>
      </c>
      <c r="O35" s="108">
        <f t="shared" si="11"/>
        <v>0</v>
      </c>
      <c r="P35" s="108">
        <f t="shared" si="9"/>
        <v>714.5666666666667</v>
      </c>
      <c r="Q35" s="191">
        <f t="shared" si="10"/>
        <v>815.35</v>
      </c>
    </row>
    <row r="36" spans="1:17" ht="16.5" thickBot="1">
      <c r="A36" s="248" t="s">
        <v>103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50"/>
    </row>
    <row r="37" spans="1:17" ht="48.75">
      <c r="A37" s="158">
        <v>1</v>
      </c>
      <c r="B37" s="192" t="s">
        <v>104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203"/>
      <c r="N37" s="161"/>
      <c r="O37" s="161"/>
      <c r="P37" s="161"/>
      <c r="Q37" s="205"/>
    </row>
    <row r="38" spans="1:17" ht="60.75">
      <c r="A38" s="97">
        <v>2</v>
      </c>
      <c r="B38" s="175" t="s">
        <v>105</v>
      </c>
      <c r="C38" s="108">
        <v>6049.937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21">
        <f>C38+D38+E38+L38</f>
        <v>6049.937</v>
      </c>
      <c r="N38" s="108"/>
      <c r="O38" s="108">
        <f>C38+D38+E38+L38</f>
        <v>6049.937</v>
      </c>
      <c r="P38" s="108"/>
      <c r="Q38" s="146"/>
    </row>
    <row r="39" spans="1:17" ht="72.75">
      <c r="A39" s="97">
        <v>3</v>
      </c>
      <c r="B39" s="175" t="s">
        <v>106</v>
      </c>
      <c r="C39" s="108">
        <v>10320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21">
        <f>C39+D39+E39+L39</f>
        <v>10320</v>
      </c>
      <c r="N39" s="108"/>
      <c r="O39" s="108">
        <f>C39+D39+E39+L39</f>
        <v>10320</v>
      </c>
      <c r="P39" s="108"/>
      <c r="Q39" s="146"/>
    </row>
    <row r="40" spans="1:17" ht="60.75">
      <c r="A40" s="97">
        <v>4</v>
      </c>
      <c r="B40" s="175" t="s">
        <v>107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21"/>
      <c r="N40" s="108"/>
      <c r="O40" s="108"/>
      <c r="P40" s="108"/>
      <c r="Q40" s="146"/>
    </row>
    <row r="41" spans="1:17" ht="60.75">
      <c r="A41" s="97">
        <v>5</v>
      </c>
      <c r="B41" s="175" t="s">
        <v>71</v>
      </c>
      <c r="C41" s="108">
        <v>7850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21">
        <f>C41+D41+E41+L41</f>
        <v>7850</v>
      </c>
      <c r="N41" s="108"/>
      <c r="O41" s="108">
        <f>C41+D41+E41+L41</f>
        <v>7850</v>
      </c>
      <c r="P41" s="108"/>
      <c r="Q41" s="146"/>
    </row>
    <row r="42" spans="1:17" ht="61.5" thickBot="1">
      <c r="A42" s="141">
        <v>6</v>
      </c>
      <c r="B42" s="186" t="s">
        <v>76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71"/>
      <c r="N42" s="143"/>
      <c r="O42" s="143"/>
      <c r="P42" s="143"/>
      <c r="Q42" s="206"/>
    </row>
    <row r="43" spans="1:17" ht="52.5" thickBot="1">
      <c r="A43" s="204"/>
      <c r="B43" s="180" t="s">
        <v>74</v>
      </c>
      <c r="C43" s="182">
        <f>SUM(C7:C41)</f>
        <v>62038.437</v>
      </c>
      <c r="D43" s="182">
        <f aca="true" t="shared" si="12" ref="D43:Q43">SUM(D7:D41)</f>
        <v>8573</v>
      </c>
      <c r="E43" s="182">
        <f t="shared" si="12"/>
        <v>387770.85</v>
      </c>
      <c r="F43" s="214">
        <f>SUM(F7:F42)</f>
        <v>370370.85</v>
      </c>
      <c r="G43" s="182">
        <f t="shared" si="12"/>
        <v>243011.72</v>
      </c>
      <c r="H43" s="182">
        <f t="shared" si="12"/>
        <v>127359.12999999999</v>
      </c>
      <c r="I43" s="182">
        <f t="shared" si="12"/>
        <v>17400</v>
      </c>
      <c r="J43" s="182">
        <f t="shared" si="12"/>
        <v>12000</v>
      </c>
      <c r="K43" s="182">
        <f t="shared" si="12"/>
        <v>5400</v>
      </c>
      <c r="L43" s="182">
        <f t="shared" si="12"/>
        <v>6674.6</v>
      </c>
      <c r="M43" s="183">
        <f t="shared" si="12"/>
        <v>465056.88699999993</v>
      </c>
      <c r="N43" s="183">
        <f t="shared" si="12"/>
        <v>37368.87450980393</v>
      </c>
      <c r="O43" s="183">
        <f t="shared" si="12"/>
        <v>36219.937</v>
      </c>
      <c r="P43" s="183">
        <f t="shared" si="12"/>
        <v>139038.0201960785</v>
      </c>
      <c r="Q43" s="218">
        <f t="shared" si="12"/>
        <v>252430.05529411766</v>
      </c>
    </row>
  </sheetData>
  <sheetProtection/>
  <mergeCells count="20">
    <mergeCell ref="H3:H4"/>
    <mergeCell ref="I3:K3"/>
    <mergeCell ref="A6:Q6"/>
    <mergeCell ref="A21:Q21"/>
    <mergeCell ref="E3:E4"/>
    <mergeCell ref="O2:O4"/>
    <mergeCell ref="E2:K2"/>
    <mergeCell ref="N2:N4"/>
    <mergeCell ref="G3:G4"/>
    <mergeCell ref="F3:F4"/>
    <mergeCell ref="A36:Q36"/>
    <mergeCell ref="A1:Q1"/>
    <mergeCell ref="A2:A4"/>
    <mergeCell ref="B2:B4"/>
    <mergeCell ref="M2:M4"/>
    <mergeCell ref="Q2:Q4"/>
    <mergeCell ref="C2:C4"/>
    <mergeCell ref="D2:D4"/>
    <mergeCell ref="P2:P4"/>
    <mergeCell ref="L2:L4"/>
  </mergeCells>
  <printOptions/>
  <pageMargins left="0.31496062992125984" right="0.31496062992125984" top="0.7480314960629921" bottom="0.7480314960629921" header="0.31496062992125984" footer="0.31496062992125984"/>
  <pageSetup firstPageNumber="114" useFirstPageNumber="1" fitToWidth="0" horizontalDpi="600" verticalDpi="600" orientation="landscape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2:G44"/>
  <sheetViews>
    <sheetView view="pageBreakPreview" zoomScaleNormal="85" zoomScaleSheetLayoutView="100" workbookViewId="0" topLeftCell="A1">
      <selection activeCell="A22" sqref="A22:G22"/>
    </sheetView>
  </sheetViews>
  <sheetFormatPr defaultColWidth="9.140625" defaultRowHeight="15"/>
  <cols>
    <col min="1" max="1" width="4.57421875" style="117" customWidth="1"/>
    <col min="2" max="2" width="28.57421875" style="117" customWidth="1"/>
    <col min="3" max="3" width="22.28125" style="117" customWidth="1"/>
    <col min="4" max="4" width="19.28125" style="117" customWidth="1"/>
    <col min="5" max="5" width="15.140625" style="117" customWidth="1"/>
    <col min="6" max="6" width="15.421875" style="117" customWidth="1"/>
    <col min="7" max="7" width="19.7109375" style="122" customWidth="1"/>
    <col min="8" max="16384" width="9.140625" style="122" customWidth="1"/>
  </cols>
  <sheetData>
    <row r="1" ht="16.5" thickBot="1"/>
    <row r="2" spans="1:7" ht="16.5" thickBot="1">
      <c r="A2" s="271" t="s">
        <v>123</v>
      </c>
      <c r="B2" s="272"/>
      <c r="C2" s="272"/>
      <c r="D2" s="272"/>
      <c r="E2" s="272"/>
      <c r="F2" s="272"/>
      <c r="G2" s="273"/>
    </row>
    <row r="3" spans="1:7" s="117" customFormat="1" ht="50.25" customHeight="1">
      <c r="A3" s="226" t="s">
        <v>0</v>
      </c>
      <c r="B3" s="269" t="s">
        <v>63</v>
      </c>
      <c r="C3" s="232" t="s">
        <v>88</v>
      </c>
      <c r="D3" s="220" t="s">
        <v>89</v>
      </c>
      <c r="E3" s="220" t="s">
        <v>90</v>
      </c>
      <c r="F3" s="239" t="s">
        <v>120</v>
      </c>
      <c r="G3" s="236" t="s">
        <v>73</v>
      </c>
    </row>
    <row r="4" spans="1:7" s="117" customFormat="1" ht="50.25" customHeight="1">
      <c r="A4" s="227"/>
      <c r="B4" s="286"/>
      <c r="C4" s="233"/>
      <c r="D4" s="221"/>
      <c r="E4" s="221"/>
      <c r="F4" s="240"/>
      <c r="G4" s="237"/>
    </row>
    <row r="5" spans="1:7" s="117" customFormat="1" ht="87.75" customHeight="1" thickBot="1">
      <c r="A5" s="228"/>
      <c r="B5" s="287"/>
      <c r="C5" s="234"/>
      <c r="D5" s="222"/>
      <c r="E5" s="222"/>
      <c r="F5" s="241"/>
      <c r="G5" s="238"/>
    </row>
    <row r="6" spans="1:7" s="117" customFormat="1" ht="13.5" thickBot="1">
      <c r="A6" s="155">
        <v>1</v>
      </c>
      <c r="B6" s="156">
        <v>2</v>
      </c>
      <c r="C6" s="173">
        <v>42</v>
      </c>
      <c r="D6" s="173">
        <v>43</v>
      </c>
      <c r="E6" s="173">
        <v>44</v>
      </c>
      <c r="F6" s="173">
        <v>45</v>
      </c>
      <c r="G6" s="174">
        <v>46</v>
      </c>
    </row>
    <row r="7" spans="1:7" ht="16.5" thickBot="1">
      <c r="A7" s="278" t="s">
        <v>92</v>
      </c>
      <c r="B7" s="279"/>
      <c r="C7" s="279"/>
      <c r="D7" s="279"/>
      <c r="E7" s="279"/>
      <c r="F7" s="279"/>
      <c r="G7" s="280"/>
    </row>
    <row r="8" spans="1:7" s="111" customFormat="1" ht="15.75">
      <c r="A8" s="158">
        <v>1</v>
      </c>
      <c r="B8" s="165" t="s">
        <v>3</v>
      </c>
      <c r="C8" s="203">
        <f>'Модернизация  котельного оборуд'!Q11+Альтернатива!G7+Деентрализация!M7</f>
        <v>145078.22</v>
      </c>
      <c r="D8" s="203">
        <f>'Модернизация  котельного оборуд'!R11+Альтернатива!H7+Деентрализация!N7</f>
        <v>56537.117647058825</v>
      </c>
      <c r="E8" s="203">
        <f>'Модернизация  котельного оборуд'!S11+Альтернатива!I7+Деентрализация!O7</f>
        <v>1740</v>
      </c>
      <c r="F8" s="203">
        <f>'Модернизация  котельного оборуд'!T11+Альтернатива!J7+Деентрализация!P7</f>
        <v>31698.442941176476</v>
      </c>
      <c r="G8" s="207">
        <f>'Модернизация  котельного оборуд'!U11+Альтернатива!K7+Деентрализация!Q7</f>
        <v>55102.65941176471</v>
      </c>
    </row>
    <row r="9" spans="1:7" s="111" customFormat="1" ht="15.75">
      <c r="A9" s="97">
        <f aca="true" t="shared" si="0" ref="A9:A21">A8+1</f>
        <v>2</v>
      </c>
      <c r="B9" s="163" t="s">
        <v>2</v>
      </c>
      <c r="C9" s="121">
        <f>'Модернизация  котельного оборуд'!Q12+Альтернатива!G8+Деентрализация!M8</f>
        <v>58201.2</v>
      </c>
      <c r="D9" s="121">
        <f>'Модернизация  котельного оборуд'!R12+Альтернатива!H8+Деентрализация!N8</f>
        <v>28794.823529411762</v>
      </c>
      <c r="E9" s="121">
        <f>'Модернизация  котельного оборуд'!S12+Альтернатива!I8+Деентрализация!O8</f>
        <v>100</v>
      </c>
      <c r="F9" s="121">
        <f>'Модернизация  котельного оборуд'!T12+Альтернатива!J8+Деентрализация!P8</f>
        <v>11752.550588235294</v>
      </c>
      <c r="G9" s="169">
        <f>'Модернизация  котельного оборуд'!U12+Альтернатива!K8+Деентрализация!Q8</f>
        <v>17553.82588235294</v>
      </c>
    </row>
    <row r="10" spans="1:7" s="111" customFormat="1" ht="15.75">
      <c r="A10" s="97">
        <f t="shared" si="0"/>
        <v>3</v>
      </c>
      <c r="B10" s="163" t="s">
        <v>6</v>
      </c>
      <c r="C10" s="121">
        <f>'Модернизация  котельного оборуд'!Q13+Альтернатива!G9+Деентрализация!M9</f>
        <v>35816.7</v>
      </c>
      <c r="D10" s="121">
        <f>'Модернизация  котельного оборуд'!R13+Альтернатива!H9+Деентрализация!N9</f>
        <v>6047.941176470588</v>
      </c>
      <c r="E10" s="121">
        <f>'Модернизация  котельного оборуд'!S13+Альтернатива!I9+Деентрализация!O9</f>
        <v>920</v>
      </c>
      <c r="F10" s="121">
        <f>'Модернизация  котельного оборуд'!T13+Альтернатива!J9+Деентрализация!P9</f>
        <v>9791.163529411764</v>
      </c>
      <c r="G10" s="169">
        <f>'Модернизация  котельного оборуд'!U13+Альтернатива!K9+Деентрализация!Q9</f>
        <v>19057.595294117647</v>
      </c>
    </row>
    <row r="11" spans="1:7" s="111" customFormat="1" ht="15.75">
      <c r="A11" s="97">
        <f t="shared" si="0"/>
        <v>4</v>
      </c>
      <c r="B11" s="163" t="s">
        <v>8</v>
      </c>
      <c r="C11" s="121">
        <f>'Модернизация  котельного оборуд'!Q14+Альтернатива!G10+Деентрализация!M10</f>
        <v>58008</v>
      </c>
      <c r="D11" s="121">
        <f>'Модернизация  котельного оборуд'!R14+Альтернатива!H10+Деентрализация!N10</f>
        <v>1652.3529411764707</v>
      </c>
      <c r="E11" s="121">
        <f>'Модернизация  котельного оборуд'!S14+Альтернатива!I10+Деентрализация!O10</f>
        <v>100</v>
      </c>
      <c r="F11" s="121">
        <f>'Модернизация  котельного оборуд'!T14+Альтернатива!J10+Деентрализация!P10</f>
        <v>13935.05882352941</v>
      </c>
      <c r="G11" s="169">
        <f>'Модернизация  котельного оборуд'!U14+Альтернатива!K10+Деентрализация!Q10</f>
        <v>42320.58823529412</v>
      </c>
    </row>
    <row r="12" spans="1:7" s="111" customFormat="1" ht="15.75">
      <c r="A12" s="97">
        <f t="shared" si="0"/>
        <v>5</v>
      </c>
      <c r="B12" s="163" t="s">
        <v>9</v>
      </c>
      <c r="C12" s="121">
        <f>'Модернизация  котельного оборуд'!Q15+Альтернатива!G11+Деентрализация!M11</f>
        <v>7613</v>
      </c>
      <c r="D12" s="121">
        <f>'Модернизация  котельного оборуд'!R15+Альтернатива!H11+Деентрализация!N11</f>
        <v>3470.0000000000005</v>
      </c>
      <c r="E12" s="121">
        <f>'Модернизация  котельного оборуд'!S15+Альтернатива!I11+Деентрализация!O11</f>
        <v>1680</v>
      </c>
      <c r="F12" s="121">
        <f>'Модернизация  котельного оборуд'!T15+Альтернатива!J11+Деентрализация!P11</f>
        <v>1081.2</v>
      </c>
      <c r="G12" s="169">
        <f>'Модернизация  котельного оборуд'!U15+Альтернатива!K11+Деентрализация!Q11</f>
        <v>1381.8</v>
      </c>
    </row>
    <row r="13" spans="1:7" s="111" customFormat="1" ht="15.75">
      <c r="A13" s="97">
        <f t="shared" si="0"/>
        <v>6</v>
      </c>
      <c r="B13" s="163" t="s">
        <v>7</v>
      </c>
      <c r="C13" s="121">
        <f>'Модернизация  котельного оборуд'!Q16+Альтернатива!G12+Деентрализация!M12</f>
        <v>8947.8</v>
      </c>
      <c r="D13" s="121">
        <f>'Модернизация  котельного оборуд'!R16+Альтернатива!H12+Деентрализация!N12</f>
        <v>1739.8823529411766</v>
      </c>
      <c r="E13" s="121">
        <f>'Модернизация  котельного оборуд'!S16+Альтернатива!I12+Деентрализация!O12</f>
        <v>910</v>
      </c>
      <c r="F13" s="121">
        <f>'Модернизация  котельного оборуд'!T16+Альтернатива!J12+Деентрализация!P12</f>
        <v>5651.16705882353</v>
      </c>
      <c r="G13" s="169">
        <f>'Модернизация  котельного оборуд'!U16+Альтернатива!K12+Деентрализация!Q12</f>
        <v>646.750588235294</v>
      </c>
    </row>
    <row r="14" spans="1:7" s="111" customFormat="1" ht="15.75">
      <c r="A14" s="97">
        <f t="shared" si="0"/>
        <v>7</v>
      </c>
      <c r="B14" s="163" t="s">
        <v>57</v>
      </c>
      <c r="C14" s="121">
        <f>'Модернизация  котельного оборуд'!Q17+Альтернатива!G13+Деентрализация!M13</f>
        <v>257037.90000000002</v>
      </c>
      <c r="D14" s="121">
        <f>'Модернизация  котельного оборуд'!R17+Альтернатива!H13+Деентрализация!N13</f>
        <v>133743.17647058822</v>
      </c>
      <c r="E14" s="121">
        <f>'Модернизация  котельного оборуд'!S17+Альтернатива!I13+Деентрализация!O13</f>
        <v>1090</v>
      </c>
      <c r="F14" s="121">
        <f>'Модернизация  котельного оборуд'!T17+Альтернатива!J13+Деентрализация!P13</f>
        <v>45049.08941176471</v>
      </c>
      <c r="G14" s="169">
        <f>'Модернизация  котельного оборуд'!U17+Альтернатива!K13+Деентрализация!Q13</f>
        <v>77155.63411764706</v>
      </c>
    </row>
    <row r="15" spans="1:7" s="137" customFormat="1" ht="15.75">
      <c r="A15" s="138">
        <f t="shared" si="0"/>
        <v>8</v>
      </c>
      <c r="B15" s="163" t="s">
        <v>1</v>
      </c>
      <c r="C15" s="121">
        <f>'Модернизация  котельного оборуд'!Q18+Альтернатива!G14+Деентрализация!M14</f>
        <v>342065.2</v>
      </c>
      <c r="D15" s="121">
        <f>'Модернизация  котельного оборуд'!R18+Альтернатива!H14+Деентрализация!N14</f>
        <v>168174.6</v>
      </c>
      <c r="E15" s="121">
        <f>'Модернизация  котельного оборуд'!S18+Альтернатива!I14+Деентрализация!O14</f>
        <v>220</v>
      </c>
      <c r="F15" s="121">
        <f>'Модернизация  котельного оборуд'!T18+Альтернатива!J14+Деентрализация!P14</f>
        <v>69579.84</v>
      </c>
      <c r="G15" s="169">
        <f>'Модернизация  котельного оборуд'!U18+Альтернатива!K14+Деентрализация!Q14</f>
        <v>104090.75999999998</v>
      </c>
    </row>
    <row r="16" spans="1:7" s="111" customFormat="1" ht="15.75">
      <c r="A16" s="97">
        <f t="shared" si="0"/>
        <v>9</v>
      </c>
      <c r="B16" s="163" t="s">
        <v>62</v>
      </c>
      <c r="C16" s="121">
        <f>'Модернизация  котельного оборуд'!Q19+Альтернатива!G15+Деентрализация!M15</f>
        <v>21056.8</v>
      </c>
      <c r="D16" s="121">
        <f>'Модернизация  котельного оборуд'!R19+Альтернатива!H15+Деентрализация!N15</f>
        <v>10925.176470588234</v>
      </c>
      <c r="E16" s="121">
        <f>'Модернизация  котельного оборуд'!S19+Альтернатива!I15+Деентрализация!O15</f>
        <v>550</v>
      </c>
      <c r="F16" s="121">
        <f>'Модернизация  котельного оборуд'!T19+Альтернатива!J15+Деентрализация!P15</f>
        <v>3896.249411764706</v>
      </c>
      <c r="G16" s="169">
        <f>'Модернизация  котельного оборуд'!U19+Альтернатива!K15+Деентрализация!Q15</f>
        <v>5685.374117647059</v>
      </c>
    </row>
    <row r="17" spans="1:7" s="111" customFormat="1" ht="15.75">
      <c r="A17" s="97">
        <f t="shared" si="0"/>
        <v>10</v>
      </c>
      <c r="B17" s="163" t="s">
        <v>5</v>
      </c>
      <c r="C17" s="121">
        <f>'Модернизация  котельного оборуд'!Q20+Альтернатива!G16+Деентрализация!M16</f>
        <v>93323.33</v>
      </c>
      <c r="D17" s="121">
        <f>'Модернизация  котельного оборуд'!R20+Альтернатива!H16+Деентрализация!N16</f>
        <v>19288.941176470587</v>
      </c>
      <c r="E17" s="121">
        <f>'Модернизация  котельного оборуд'!S20+Альтернатива!I16+Деентрализация!O16</f>
        <v>600</v>
      </c>
      <c r="F17" s="121">
        <f>'Модернизация  котельного оборуд'!T20+Альтернатива!J16+Деентрализация!P16</f>
        <v>16037.183529411766</v>
      </c>
      <c r="G17" s="169">
        <f>'Модернизация  котельного оборуд'!U20+Альтернатива!K16+Деентрализация!Q16</f>
        <v>57397.205294117644</v>
      </c>
    </row>
    <row r="18" spans="1:7" s="111" customFormat="1" ht="15.75">
      <c r="A18" s="97">
        <f t="shared" si="0"/>
        <v>11</v>
      </c>
      <c r="B18" s="163" t="s">
        <v>93</v>
      </c>
      <c r="C18" s="121">
        <f>'Модернизация  котельного оборуд'!Q21+Альтернатива!G17+Деентрализация!M17</f>
        <v>137356.8</v>
      </c>
      <c r="D18" s="121">
        <f>'Модернизация  котельного оборуд'!R21+Альтернатива!H17+Деентрализация!N17</f>
        <v>21621.058823529413</v>
      </c>
      <c r="E18" s="121">
        <f>'Модернизация  котельного оборуд'!S21+Альтернатива!I17+Деентрализация!O17</f>
        <v>600</v>
      </c>
      <c r="F18" s="121">
        <f>'Модернизация  котельного оборуд'!T21+Альтернатива!J17+Деентрализация!P17</f>
        <v>56268.29647058823</v>
      </c>
      <c r="G18" s="169">
        <f>'Модернизация  котельного оборуд'!U21+Альтернатива!K17+Деентрализация!Q17</f>
        <v>58867.44470588235</v>
      </c>
    </row>
    <row r="19" spans="1:7" s="111" customFormat="1" ht="15.75">
      <c r="A19" s="97">
        <f t="shared" si="0"/>
        <v>12</v>
      </c>
      <c r="B19" s="163" t="s">
        <v>27</v>
      </c>
      <c r="C19" s="121">
        <f>'Модернизация  котельного оборуд'!Q22+Альтернатива!G18+Деентрализация!M18</f>
        <v>15243.9</v>
      </c>
      <c r="D19" s="121">
        <f>'Модернизация  котельного оборуд'!R22+Альтернатива!H18+Деентрализация!N18</f>
        <v>4305.764705882353</v>
      </c>
      <c r="E19" s="121">
        <f>'Модернизация  котельного оборуд'!S22+Альтернатива!I18+Деентрализация!O18</f>
        <v>20</v>
      </c>
      <c r="F19" s="121">
        <f>'Модернизация  котельного оборуд'!T22+Альтернатива!J18+Деентрализация!P18</f>
        <v>2011.054117647059</v>
      </c>
      <c r="G19" s="169">
        <f>'Модернизация  котельного оборуд'!U22+Альтернатива!K18+Деентрализация!Q18</f>
        <v>8907.081176470589</v>
      </c>
    </row>
    <row r="20" spans="1:7" s="111" customFormat="1" ht="15.75">
      <c r="A20" s="97">
        <f t="shared" si="0"/>
        <v>13</v>
      </c>
      <c r="B20" s="163" t="s">
        <v>10</v>
      </c>
      <c r="C20" s="121">
        <f>'Модернизация  котельного оборуд'!Q23+Альтернатива!G19+Деентрализация!M19</f>
        <v>83385.3</v>
      </c>
      <c r="D20" s="121">
        <f>'Модернизация  котельного оборуд'!R23+Альтернатива!H19+Деентрализация!N19</f>
        <v>48929.58823529412</v>
      </c>
      <c r="E20" s="121">
        <f>'Модернизация  котельного оборуд'!S23+Альтернатива!I19+Деентрализация!O19</f>
        <v>20</v>
      </c>
      <c r="F20" s="121">
        <f>'Модернизация  котельного оборуд'!T23+Альтернатива!J19+Деентрализация!P19</f>
        <v>13774.284705882354</v>
      </c>
      <c r="G20" s="169">
        <f>'Модернизация  котельного оборуд'!U23+Альтернатива!K19+Деентрализация!Q19</f>
        <v>20661.42705882353</v>
      </c>
    </row>
    <row r="21" spans="1:7" s="111" customFormat="1" ht="16.5" thickBot="1">
      <c r="A21" s="141">
        <f t="shared" si="0"/>
        <v>14</v>
      </c>
      <c r="B21" s="177" t="s">
        <v>94</v>
      </c>
      <c r="C21" s="171">
        <f>'Модернизация  котельного оборуд'!Q24+Альтернатива!G20+Деентрализация!M20</f>
        <v>28940.3</v>
      </c>
      <c r="D21" s="171">
        <f>'Модернизация  котельного оборуд'!R24+Альтернатива!H20+Деентрализация!N20</f>
        <v>6781.235294117647</v>
      </c>
      <c r="E21" s="171">
        <f>'Модернизация  котельного оборуд'!S24+Альтернатива!I20+Деентрализация!O20</f>
        <v>330</v>
      </c>
      <c r="F21" s="171">
        <f>'Модернизация  котельного оборуд'!T24+Альтернатива!J20+Деентрализация!P20</f>
        <v>13973.225882352941</v>
      </c>
      <c r="G21" s="172">
        <f>'Модернизация  котельного оборуд'!U24+Альтернатива!K20+Деентрализация!Q20</f>
        <v>7855.8388235294115</v>
      </c>
    </row>
    <row r="22" spans="1:7" s="111" customFormat="1" ht="16.5" thickBot="1">
      <c r="A22" s="283" t="s">
        <v>95</v>
      </c>
      <c r="B22" s="284"/>
      <c r="C22" s="284"/>
      <c r="D22" s="284"/>
      <c r="E22" s="284"/>
      <c r="F22" s="284"/>
      <c r="G22" s="285"/>
    </row>
    <row r="23" spans="1:7" s="111" customFormat="1" ht="17.25" customHeight="1">
      <c r="A23" s="158">
        <v>1</v>
      </c>
      <c r="B23" s="165" t="s">
        <v>14</v>
      </c>
      <c r="C23" s="203">
        <f>'Модернизация  котельного оборуд'!Q26+Альтернатива!G22+Деентрализация!M22</f>
        <v>2200</v>
      </c>
      <c r="D23" s="203">
        <f>'Модернизация  котельного оборуд'!R26+Альтернатива!H22+Деентрализация!N22</f>
        <v>1833.3333333333335</v>
      </c>
      <c r="E23" s="203">
        <f>'Модернизация  котельного оборуд'!S26+Альтернатива!I22+Деентрализация!O22</f>
        <v>0</v>
      </c>
      <c r="F23" s="203">
        <f>'Модернизация  котельного оборуд'!T26+Альтернатива!J22+Деентрализация!P22</f>
        <v>146.6666666666666</v>
      </c>
      <c r="G23" s="207">
        <f>'Модернизация  котельного оборуд'!U26+Альтернатива!K22+Деентрализация!Q22</f>
        <v>219.99999999999991</v>
      </c>
    </row>
    <row r="24" spans="1:7" s="111" customFormat="1" ht="15.75">
      <c r="A24" s="97">
        <f aca="true" t="shared" si="1" ref="A24:A36">A23+1</f>
        <v>2</v>
      </c>
      <c r="B24" s="164" t="s">
        <v>34</v>
      </c>
      <c r="C24" s="121">
        <f>'Модернизация  котельного оборуд'!Q27+Альтернатива!G23+Деентрализация!M23</f>
        <v>843.5000000000001</v>
      </c>
      <c r="D24" s="121">
        <f>'Модернизация  котельного оборуд'!R27+Альтернатива!H23+Деентрализация!N23</f>
        <v>645.6666666666667</v>
      </c>
      <c r="E24" s="121">
        <f>'Модернизация  котельного оборуд'!S27+Альтернатива!I23+Деентрализация!O23</f>
        <v>0</v>
      </c>
      <c r="F24" s="121">
        <f>'Модернизация  котельного оборуд'!T27+Альтернатива!J23+Деентрализация!P23</f>
        <v>79.13333333333335</v>
      </c>
      <c r="G24" s="169">
        <f>'Модернизация  котельного оборуд'!U27+Альтернатива!K23+Деентрализация!Q23</f>
        <v>118.70000000000002</v>
      </c>
    </row>
    <row r="25" spans="1:7" ht="15.75">
      <c r="A25" s="97">
        <f t="shared" si="1"/>
        <v>3</v>
      </c>
      <c r="B25" s="164" t="s">
        <v>96</v>
      </c>
      <c r="C25" s="121">
        <f>'Модернизация  котельного оборуд'!Q28+Альтернатива!G24+Деентрализация!M24</f>
        <v>624.7</v>
      </c>
      <c r="D25" s="121">
        <f>'Модернизация  котельного оборуд'!R28+Альтернатива!H24+Деентрализация!N24</f>
        <v>520.5833333333334</v>
      </c>
      <c r="E25" s="121">
        <f>'Модернизация  котельного оборуд'!S28+Альтернатива!I24+Деентрализация!O24</f>
        <v>0</v>
      </c>
      <c r="F25" s="121">
        <f>'Модернизация  котельного оборуд'!T28+Альтернатива!J24+Деентрализация!P24</f>
        <v>41.646666666666675</v>
      </c>
      <c r="G25" s="169">
        <f>'Модернизация  котельного оборуд'!U28+Альтернатива!K24+Деентрализация!Q24</f>
        <v>62.47</v>
      </c>
    </row>
    <row r="26" spans="1:7" ht="15.75">
      <c r="A26" s="97">
        <f t="shared" si="1"/>
        <v>4</v>
      </c>
      <c r="B26" s="164" t="s">
        <v>28</v>
      </c>
      <c r="C26" s="121">
        <f>'Модернизация  котельного оборуд'!Q29+Альтернатива!G25+Деентрализация!M25</f>
        <v>1045.2</v>
      </c>
      <c r="D26" s="121">
        <f>'Модернизация  котельного оборуд'!R29+Альтернатива!H25+Деентрализация!N25</f>
        <v>871.0000000000001</v>
      </c>
      <c r="E26" s="121">
        <f>'Модернизация  котельного оборуд'!S29+Альтернатива!I25+Деентрализация!O25</f>
        <v>0</v>
      </c>
      <c r="F26" s="121">
        <f>'Модернизация  котельного оборуд'!T29+Альтернатива!J25+Деентрализация!P25</f>
        <v>69.67999999999998</v>
      </c>
      <c r="G26" s="169">
        <f>'Модернизация  котельного оборуд'!U29+Альтернатива!K25+Деентрализация!Q25</f>
        <v>104.51999999999995</v>
      </c>
    </row>
    <row r="27" spans="1:7" s="111" customFormat="1" ht="15.75">
      <c r="A27" s="97">
        <f t="shared" si="1"/>
        <v>5</v>
      </c>
      <c r="B27" s="163" t="s">
        <v>97</v>
      </c>
      <c r="C27" s="121">
        <f>'Модернизация  котельного оборуд'!Q30+Альтернатива!G26+Деентрализация!M26</f>
        <v>11774.7</v>
      </c>
      <c r="D27" s="121">
        <f>'Модернизация  котельного оборуд'!R30+Альтернатива!H26+Деентрализация!N26</f>
        <v>8837.833333333334</v>
      </c>
      <c r="E27" s="121">
        <f>'Модернизация  котельного оборуд'!S30+Альтернатива!I26+Деентрализация!O26</f>
        <v>620</v>
      </c>
      <c r="F27" s="121">
        <f>'Модернизация  котельного оборуд'!T30+Альтернатива!J26+Деентрализация!P26</f>
        <v>1004.7466666666668</v>
      </c>
      <c r="G27" s="169">
        <f>'Модернизация  котельного оборуд'!U30+Альтернатива!K26+Деентрализация!Q26</f>
        <v>1312.12</v>
      </c>
    </row>
    <row r="28" spans="1:7" s="111" customFormat="1" ht="15.75">
      <c r="A28" s="97">
        <f t="shared" si="1"/>
        <v>6</v>
      </c>
      <c r="B28" s="163" t="s">
        <v>98</v>
      </c>
      <c r="C28" s="121">
        <f>'Модернизация  котельного оборуд'!Q31+Альтернатива!G27+Деентрализация!M27</f>
        <v>5468</v>
      </c>
      <c r="D28" s="121">
        <f>'Модернизация  котельного оборуд'!R31+Альтернатива!H27+Деентрализация!N27</f>
        <v>1591.8333333333335</v>
      </c>
      <c r="E28" s="121">
        <f>'Модернизация  котельного оборуд'!S31+Альтернатива!I27+Деентрализация!O27</f>
        <v>200</v>
      </c>
      <c r="F28" s="121">
        <f>'Модернизация  котельного оборуд'!T31+Альтернатива!J27+Деентрализация!P27</f>
        <v>2067.4666666666667</v>
      </c>
      <c r="G28" s="169">
        <f>'Модернизация  котельного оборуд'!U31+Альтернатива!K27+Деентрализация!Q27</f>
        <v>1608.7</v>
      </c>
    </row>
    <row r="29" spans="1:7" ht="15.75">
      <c r="A29" s="97">
        <f t="shared" si="1"/>
        <v>7</v>
      </c>
      <c r="B29" s="164" t="s">
        <v>58</v>
      </c>
      <c r="C29" s="121">
        <f>'Модернизация  котельного оборуд'!Q32+Альтернатива!G28+Деентрализация!M28</f>
        <v>700</v>
      </c>
      <c r="D29" s="121">
        <f>'Модернизация  котельного оборуд'!R32+Альтернатива!H28+Деентрализация!N28</f>
        <v>616.6666666666667</v>
      </c>
      <c r="E29" s="121">
        <f>'Модернизация  котельного оборуд'!S32+Альтернатива!I28+Деентрализация!O28</f>
        <v>0</v>
      </c>
      <c r="F29" s="121">
        <f>'Модернизация  котельного оборуд'!T32+Альтернатива!J28+Деентрализация!P28</f>
        <v>33.333333333333336</v>
      </c>
      <c r="G29" s="169">
        <f>'Модернизация  котельного оборуд'!U32+Альтернатива!K28+Деентрализация!Q28</f>
        <v>50.00000000000001</v>
      </c>
    </row>
    <row r="30" spans="1:7" ht="15.75">
      <c r="A30" s="97">
        <f t="shared" si="1"/>
        <v>8</v>
      </c>
      <c r="B30" s="164" t="s">
        <v>29</v>
      </c>
      <c r="C30" s="121">
        <f>'Модернизация  котельного оборуд'!Q33+Альтернатива!G29+Деентрализация!M29</f>
        <v>352.9</v>
      </c>
      <c r="D30" s="121">
        <f>'Модернизация  котельного оборуд'!R33+Альтернатива!H29+Деентрализация!N29</f>
        <v>294.0833333333333</v>
      </c>
      <c r="E30" s="121">
        <f>'Модернизация  котельного оборуд'!S33+Альтернатива!I29+Деентрализация!O29</f>
        <v>0</v>
      </c>
      <c r="F30" s="121">
        <f>'Модернизация  котельного оборуд'!T33+Альтернатива!J29+Деентрализация!P29</f>
        <v>23.526666666666667</v>
      </c>
      <c r="G30" s="169">
        <f>'Модернизация  котельного оборуд'!U33+Альтернатива!K29+Деентрализация!Q29</f>
        <v>35.29</v>
      </c>
    </row>
    <row r="31" spans="1:7" ht="15.75">
      <c r="A31" s="97">
        <f t="shared" si="1"/>
        <v>9</v>
      </c>
      <c r="B31" s="164" t="s">
        <v>99</v>
      </c>
      <c r="C31" s="121">
        <f>'Модернизация  котельного оборуд'!Q34+Альтернатива!G30+Деентрализация!M30</f>
        <v>21472</v>
      </c>
      <c r="D31" s="121">
        <f>'Модернизация  котельного оборуд'!R34+Альтернатива!H30+Деентрализация!N30</f>
        <v>1225</v>
      </c>
      <c r="E31" s="121">
        <f>'Модернизация  котельного оборуд'!S34+Альтернатива!I30+Деентрализация!O30</f>
        <v>330</v>
      </c>
      <c r="F31" s="121">
        <f>'Модернизация  котельного оборуд'!T34+Альтернатива!J30+Деентрализация!P30</f>
        <v>4144</v>
      </c>
      <c r="G31" s="169">
        <f>'Модернизация  котельного оборуд'!U34+Альтернатива!K30+Деентрализация!Q30</f>
        <v>15773</v>
      </c>
    </row>
    <row r="32" spans="1:7" ht="15.75">
      <c r="A32" s="97">
        <f t="shared" si="1"/>
        <v>10</v>
      </c>
      <c r="B32" s="164" t="s">
        <v>32</v>
      </c>
      <c r="C32" s="121">
        <f>'Модернизация  котельного оборуд'!Q35+Альтернатива!G31+Деентрализация!M31</f>
        <v>9361.4</v>
      </c>
      <c r="D32" s="121">
        <f>'Модернизация  котельного оборуд'!R35+Альтернатива!H31+Деентрализация!N31</f>
        <v>3144.5</v>
      </c>
      <c r="E32" s="121">
        <f>'Модернизация  котельного оборуд'!S35+Альтернатива!I31+Деентрализация!O31</f>
        <v>1200</v>
      </c>
      <c r="F32" s="121">
        <f>'Модернизация  котельного оборуд'!T35+Альтернатива!J31+Деентрализация!P31</f>
        <v>1725.3600000000001</v>
      </c>
      <c r="G32" s="169">
        <f>'Модернизация  котельного оборуд'!U35+Альтернатива!K31+Деентрализация!Q31</f>
        <v>3291.54</v>
      </c>
    </row>
    <row r="33" spans="1:7" ht="15.75">
      <c r="A33" s="97">
        <f t="shared" si="1"/>
        <v>11</v>
      </c>
      <c r="B33" s="164" t="s">
        <v>42</v>
      </c>
      <c r="C33" s="121">
        <f>'Модернизация  котельного оборуд'!Q36+Альтернатива!G32+Деентрализация!M32</f>
        <v>23</v>
      </c>
      <c r="D33" s="121">
        <f>'Модернизация  котельного оборуд'!R36+Альтернатива!H32+Деентрализация!N32</f>
        <v>0</v>
      </c>
      <c r="E33" s="121">
        <f>'Модернизация  котельного оборуд'!S36+Альтернатива!I32+Деентрализация!O32</f>
        <v>20</v>
      </c>
      <c r="F33" s="121">
        <f>'Модернизация  котельного оборуд'!T36+Альтернатива!J32+Деентрализация!P32</f>
        <v>3</v>
      </c>
      <c r="G33" s="169">
        <f>'Модернизация  котельного оборуд'!U36+Альтернатива!K32+Деентрализация!Q32</f>
        <v>0</v>
      </c>
    </row>
    <row r="34" spans="1:7" ht="15.75">
      <c r="A34" s="97">
        <f t="shared" si="1"/>
        <v>12</v>
      </c>
      <c r="B34" s="163" t="s">
        <v>100</v>
      </c>
      <c r="C34" s="121">
        <f>'Модернизация  котельного оборуд'!Q37+Альтернатива!G33+Деентрализация!M33</f>
        <v>492.4</v>
      </c>
      <c r="D34" s="121">
        <f>'Модернизация  котельного оборуд'!R37+Альтернатива!H33+Деентрализация!N33</f>
        <v>310.3333333333333</v>
      </c>
      <c r="E34" s="121">
        <f>'Модернизация  котельного оборуд'!S37+Альтернатива!I33+Деентрализация!O33</f>
        <v>100</v>
      </c>
      <c r="F34" s="121">
        <f>'Модернизация  котельного оборуд'!T37+Альтернатива!J33+Деентрализация!P33</f>
        <v>44.82666666666667</v>
      </c>
      <c r="G34" s="169">
        <f>'Модернизация  котельного оборуд'!U37+Альтернатива!K33+Деентрализация!Q33</f>
        <v>37.239999999999995</v>
      </c>
    </row>
    <row r="35" spans="1:7" ht="15.75">
      <c r="A35" s="97">
        <f t="shared" si="1"/>
        <v>13</v>
      </c>
      <c r="B35" s="164" t="s">
        <v>101</v>
      </c>
      <c r="C35" s="121">
        <f>'Модернизация  котельного оборуд'!Q38+Альтернатива!G34+Деентрализация!M34</f>
        <v>10296.5</v>
      </c>
      <c r="D35" s="121">
        <f>'Модернизация  котельного оборуд'!R38+Альтернатива!H34+Деентрализация!N34</f>
        <v>5296.25</v>
      </c>
      <c r="E35" s="121">
        <f>'Модернизация  котельного оборуд'!S38+Альтернатива!I34+Деентрализация!O34</f>
        <v>650</v>
      </c>
      <c r="F35" s="121">
        <f>'Модернизация  котельного оборуд'!T38+Альтернатива!J34+Деентрализация!P34</f>
        <v>1478</v>
      </c>
      <c r="G35" s="169">
        <f>'Модернизация  котельного оборуд'!U38+Альтернатива!K34+Деентрализация!Q34</f>
        <v>2872.25</v>
      </c>
    </row>
    <row r="36" spans="1:7" ht="16.5" thickBot="1">
      <c r="A36" s="141">
        <f t="shared" si="1"/>
        <v>14</v>
      </c>
      <c r="B36" s="178" t="s">
        <v>102</v>
      </c>
      <c r="C36" s="171">
        <f>'Модернизация  котельного оборуд'!Q39+Альтернатива!G35+Деентрализация!M35</f>
        <v>13220.6</v>
      </c>
      <c r="D36" s="171">
        <f>'Модернизация  котельного оборуд'!R39+Альтернатива!H35+Деентрализация!N35</f>
        <v>8869.666666666668</v>
      </c>
      <c r="E36" s="171">
        <f>'Модернизация  котельного оборуд'!S39+Альтернатива!I35+Деентрализация!O35</f>
        <v>0</v>
      </c>
      <c r="F36" s="171">
        <f>'Модернизация  котельного оборуд'!T39+Альтернатива!J35+Деентрализация!P35</f>
        <v>1842.9733333333334</v>
      </c>
      <c r="G36" s="172">
        <f>'Модернизация  котельного оборуд'!U39+Альтернатива!K35+Деентрализация!Q35</f>
        <v>2507.96</v>
      </c>
    </row>
    <row r="37" spans="1:7" ht="16.5" thickBot="1">
      <c r="A37" s="283" t="s">
        <v>103</v>
      </c>
      <c r="B37" s="284"/>
      <c r="C37" s="284"/>
      <c r="D37" s="284"/>
      <c r="E37" s="284"/>
      <c r="F37" s="284"/>
      <c r="G37" s="285"/>
    </row>
    <row r="38" spans="1:7" ht="15.75">
      <c r="A38" s="158">
        <v>1</v>
      </c>
      <c r="B38" s="210" t="s">
        <v>68</v>
      </c>
      <c r="C38" s="203">
        <f>'Модернизация  котельного оборуд'!Q41+Альтернатива!G37+Деентрализация!M37</f>
        <v>15047.255140000001</v>
      </c>
      <c r="D38" s="203">
        <f>'Модернизация  котельного оборуд'!R41+Альтернатива!H37+Деентрализация!N37</f>
        <v>0</v>
      </c>
      <c r="E38" s="203">
        <f>'Модернизация  котельного оборуд'!S41+Альтернатива!I37+Деентрализация!O37</f>
        <v>15047.255140000001</v>
      </c>
      <c r="F38" s="203">
        <f>'Модернизация  котельного оборуд'!T41+Альтернатива!J37+Деентрализация!P37</f>
        <v>0</v>
      </c>
      <c r="G38" s="207">
        <f>'Модернизация  котельного оборуд'!U41+Альтернатива!K37+Деентрализация!Q37</f>
        <v>0</v>
      </c>
    </row>
    <row r="39" spans="1:7" ht="26.25">
      <c r="A39" s="97">
        <v>2</v>
      </c>
      <c r="B39" s="95" t="s">
        <v>70</v>
      </c>
      <c r="C39" s="121">
        <f>'Модернизация  котельного оборуд'!Q42+Альтернатива!G38+Деентрализация!M38</f>
        <v>10492.725620000001</v>
      </c>
      <c r="D39" s="121">
        <f>'Модернизация  котельного оборуд'!R42+Альтернатива!H38+Деентрализация!N38</f>
        <v>0</v>
      </c>
      <c r="E39" s="121">
        <f>'Модернизация  котельного оборуд'!S42+Альтернатива!I38+Деентрализация!O38</f>
        <v>10492.725620000001</v>
      </c>
      <c r="F39" s="121">
        <f>'Модернизация  котельного оборуд'!T42+Альтернатива!J38+Деентрализация!P38</f>
        <v>0</v>
      </c>
      <c r="G39" s="169">
        <f>'Модернизация  котельного оборуд'!U42+Альтернатива!K38+Деентрализация!Q38</f>
        <v>0</v>
      </c>
    </row>
    <row r="40" spans="1:7" ht="26.25">
      <c r="A40" s="97">
        <v>3</v>
      </c>
      <c r="B40" s="118" t="s">
        <v>69</v>
      </c>
      <c r="C40" s="121">
        <f>'Модернизация  котельного оборуд'!Q43+Альтернатива!G39+Деентрализация!M39</f>
        <v>21401.0845</v>
      </c>
      <c r="D40" s="121">
        <f>'Модернизация  котельного оборуд'!R43+Альтернатива!H39+Деентрализация!N39</f>
        <v>0</v>
      </c>
      <c r="E40" s="121">
        <f>'Модернизация  котельного оборуд'!S43+Альтернатива!I39+Деентрализация!O39</f>
        <v>21401.0845</v>
      </c>
      <c r="F40" s="121">
        <f>'Модернизация  котельного оборуд'!T43+Альтернатива!J39+Деентрализация!P39</f>
        <v>0</v>
      </c>
      <c r="G40" s="169">
        <f>'Модернизация  котельного оборуд'!U43+Альтернатива!K39+Деентрализация!Q39</f>
        <v>0</v>
      </c>
    </row>
    <row r="41" spans="1:7" ht="15.75">
      <c r="A41" s="97">
        <v>4</v>
      </c>
      <c r="B41" s="120" t="s">
        <v>67</v>
      </c>
      <c r="C41" s="121">
        <f>'Модернизация  котельного оборуд'!Q44+Альтернатива!G40+Деентрализация!M40</f>
        <v>673.7349399999999</v>
      </c>
      <c r="D41" s="121">
        <f>'Модернизация  котельного оборуд'!R44+Альтернатива!H40+Деентрализация!N40</f>
        <v>0</v>
      </c>
      <c r="E41" s="121">
        <f>'Модернизация  котельного оборуд'!S44+Альтернатива!I40+Деентрализация!O40</f>
        <v>673.7349399999999</v>
      </c>
      <c r="F41" s="121">
        <f>'Модернизация  котельного оборуд'!T44+Альтернатива!J40+Деентрализация!P40</f>
        <v>0</v>
      </c>
      <c r="G41" s="169">
        <f>'Модернизация  котельного оборуд'!U44+Альтернатива!K40+Деентрализация!Q40</f>
        <v>0</v>
      </c>
    </row>
    <row r="42" spans="1:7" ht="24.75">
      <c r="A42" s="97">
        <v>5</v>
      </c>
      <c r="B42" s="120" t="s">
        <v>71</v>
      </c>
      <c r="C42" s="121">
        <f>'Модернизация  котельного оборуд'!Q45+Альтернатива!G41+Деентрализация!M41</f>
        <v>7850</v>
      </c>
      <c r="D42" s="121">
        <f>'Модернизация  котельного оборуд'!R45+Альтернатива!H41+Деентрализация!N41</f>
        <v>0</v>
      </c>
      <c r="E42" s="121">
        <f>'Модернизация  котельного оборуд'!S45+Альтернатива!I41+Деентрализация!O41</f>
        <v>7850</v>
      </c>
      <c r="F42" s="121">
        <f>'Модернизация  котельного оборуд'!T45+Альтернатива!J41+Деентрализация!P41</f>
        <v>0</v>
      </c>
      <c r="G42" s="169">
        <f>'Модернизация  котельного оборуд'!U45+Альтернатива!K41+Деентрализация!Q41</f>
        <v>0</v>
      </c>
    </row>
    <row r="43" spans="1:7" ht="25.5" thickBot="1">
      <c r="A43" s="141">
        <v>6</v>
      </c>
      <c r="B43" s="186" t="s">
        <v>76</v>
      </c>
      <c r="C43" s="171">
        <f>'Модернизация  котельного оборуд'!Q46+Альтернатива!G42+Деентрализация!M42</f>
        <v>68.6658</v>
      </c>
      <c r="D43" s="171">
        <f>'Модернизация  котельного оборуд'!R46+Альтернатива!H42+Деентрализация!N42</f>
        <v>0</v>
      </c>
      <c r="E43" s="171">
        <f>'Модернизация  котельного оборуд'!S46+Альтернатива!I42+Деентрализация!O42</f>
        <v>68.6658</v>
      </c>
      <c r="F43" s="171">
        <f>'Модернизация  котельного оборуд'!T46+Альтернатива!J42+Деентрализация!P42</f>
        <v>0</v>
      </c>
      <c r="G43" s="172">
        <f>'Модернизация  котельного оборуд'!U46+Альтернатива!K42+Деентрализация!Q42</f>
        <v>0</v>
      </c>
    </row>
    <row r="44" spans="1:7" ht="27" thickBot="1">
      <c r="A44" s="204"/>
      <c r="B44" s="180" t="s">
        <v>74</v>
      </c>
      <c r="C44" s="208">
        <f>'Модернизация  котельного оборуд'!Q47+Альтернатива!G43+Деентрализация!M43</f>
        <v>1425482.8159999996</v>
      </c>
      <c r="D44" s="208">
        <f>'Модернизация  котельного оборуд'!R47+Альтернатива!H43+Деентрализация!N43</f>
        <v>546068.4088235294</v>
      </c>
      <c r="E44" s="208">
        <f>Деентрализация!O43+Альтернатива!I43+'Модернизация  котельного оборуд'!S47</f>
        <v>67533.466</v>
      </c>
      <c r="F44" s="208">
        <f>'Модернизация  котельного оборуд'!T47+Альтернатива!J43+Деентрализация!P43</f>
        <v>307203.1664705883</v>
      </c>
      <c r="G44" s="209">
        <f>'Модернизация  котельного оборуд'!U47+Альтернатива!K43+Деентрализация!Q43</f>
        <v>504677.77470588236</v>
      </c>
    </row>
  </sheetData>
  <sheetProtection/>
  <mergeCells count="11">
    <mergeCell ref="A2:G2"/>
    <mergeCell ref="E3:E5"/>
    <mergeCell ref="D3:D5"/>
    <mergeCell ref="F3:F5"/>
    <mergeCell ref="A3:A5"/>
    <mergeCell ref="B3:B5"/>
    <mergeCell ref="C3:C5"/>
    <mergeCell ref="G3:G5"/>
    <mergeCell ref="A22:G22"/>
    <mergeCell ref="A37:G37"/>
    <mergeCell ref="A7:G7"/>
  </mergeCells>
  <printOptions/>
  <pageMargins left="0.87" right="0.31496062992125984" top="0.7480314960629921" bottom="0.7480314960629921" header="0.31496062992125984" footer="0.31496062992125984"/>
  <pageSetup firstPageNumber="117" useFirstPageNumber="1" fitToWidth="0" horizontalDpi="600" verticalDpi="600" orientation="portrait" paperSize="9" scale="7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H2" sqref="H2:H34"/>
    </sheetView>
  </sheetViews>
  <sheetFormatPr defaultColWidth="9.140625" defaultRowHeight="15"/>
  <cols>
    <col min="1" max="1" width="4.57421875" style="7" customWidth="1"/>
    <col min="2" max="2" width="14.8515625" style="7" customWidth="1"/>
    <col min="3" max="3" width="8.140625" style="7" hidden="1" customWidth="1"/>
    <col min="4" max="4" width="6.421875" style="7" hidden="1" customWidth="1"/>
    <col min="5" max="5" width="7.7109375" style="7" customWidth="1"/>
    <col min="6" max="6" width="9.421875" style="7" customWidth="1"/>
    <col min="7" max="7" width="9.421875" style="116" customWidth="1"/>
    <col min="8" max="8" width="10.28125" style="7" customWidth="1"/>
    <col min="9" max="10" width="9.421875" style="7" customWidth="1"/>
    <col min="11" max="12" width="8.57421875" style="7" customWidth="1"/>
    <col min="13" max="13" width="8.57421875" style="7" hidden="1" customWidth="1"/>
    <col min="14" max="18" width="8.57421875" style="7" customWidth="1"/>
    <col min="19" max="19" width="7.28125" style="7" customWidth="1"/>
    <col min="20" max="20" width="9.421875" style="7" customWidth="1"/>
    <col min="21" max="21" width="7.57421875" style="7" customWidth="1"/>
    <col min="22" max="22" width="7.8515625" style="7" customWidth="1"/>
    <col min="23" max="23" width="8.57421875" style="7" customWidth="1"/>
    <col min="24" max="28" width="9.421875" style="7" customWidth="1"/>
    <col min="29" max="29" width="10.8515625" style="7" customWidth="1"/>
    <col min="30" max="30" width="9.28125" style="73" customWidth="1"/>
    <col min="31" max="31" width="8.28125" style="7" customWidth="1"/>
    <col min="32" max="32" width="7.8515625" style="7" customWidth="1"/>
    <col min="33" max="33" width="7.57421875" style="45" customWidth="1"/>
    <col min="34" max="34" width="8.140625" style="45" customWidth="1"/>
    <col min="35" max="16384" width="9.140625" style="45" customWidth="1"/>
  </cols>
  <sheetData>
    <row r="1" spans="1:34" s="7" customFormat="1" ht="61.5" customHeight="1" thickBot="1">
      <c r="A1" s="298" t="s">
        <v>0</v>
      </c>
      <c r="B1" s="305" t="s">
        <v>63</v>
      </c>
      <c r="C1" s="34" t="s">
        <v>24</v>
      </c>
      <c r="D1" s="24"/>
      <c r="E1" s="303" t="s">
        <v>45</v>
      </c>
      <c r="F1" s="288" t="s">
        <v>17</v>
      </c>
      <c r="G1" s="307" t="s">
        <v>22</v>
      </c>
      <c r="H1" s="308"/>
      <c r="I1" s="308"/>
      <c r="J1" s="308"/>
      <c r="K1" s="309"/>
      <c r="L1" s="307" t="s">
        <v>60</v>
      </c>
      <c r="M1" s="308"/>
      <c r="N1" s="308"/>
      <c r="O1" s="309"/>
      <c r="P1" s="300" t="s">
        <v>48</v>
      </c>
      <c r="Q1" s="302" t="s">
        <v>49</v>
      </c>
      <c r="R1" s="303" t="s">
        <v>50</v>
      </c>
      <c r="S1" s="288" t="s">
        <v>18</v>
      </c>
      <c r="T1" s="288" t="s">
        <v>20</v>
      </c>
      <c r="U1" s="288" t="s">
        <v>19</v>
      </c>
      <c r="V1" s="288" t="s">
        <v>37</v>
      </c>
      <c r="W1" s="288" t="s">
        <v>38</v>
      </c>
      <c r="X1" s="288" t="s">
        <v>23</v>
      </c>
      <c r="Y1" s="288" t="s">
        <v>21</v>
      </c>
      <c r="Z1" s="294" t="s">
        <v>48</v>
      </c>
      <c r="AA1" s="290" t="s">
        <v>49</v>
      </c>
      <c r="AB1" s="292" t="s">
        <v>51</v>
      </c>
      <c r="AC1" s="294" t="s">
        <v>53</v>
      </c>
      <c r="AD1" s="296" t="s">
        <v>52</v>
      </c>
      <c r="AE1" s="290" t="s">
        <v>54</v>
      </c>
      <c r="AF1" s="292" t="s">
        <v>55</v>
      </c>
      <c r="AG1" s="6"/>
      <c r="AH1" s="288" t="s">
        <v>25</v>
      </c>
    </row>
    <row r="2" spans="1:34" s="7" customFormat="1" ht="69" customHeight="1" thickBot="1">
      <c r="A2" s="299"/>
      <c r="B2" s="306"/>
      <c r="C2" s="36" t="s">
        <v>26</v>
      </c>
      <c r="D2" s="37" t="s">
        <v>33</v>
      </c>
      <c r="E2" s="304"/>
      <c r="F2" s="289"/>
      <c r="G2" s="112" t="s">
        <v>59</v>
      </c>
      <c r="H2" s="84" t="s">
        <v>56</v>
      </c>
      <c r="I2" s="96" t="s">
        <v>61</v>
      </c>
      <c r="J2" s="90" t="s">
        <v>64</v>
      </c>
      <c r="K2" s="20" t="s">
        <v>36</v>
      </c>
      <c r="L2" s="83" t="s">
        <v>47</v>
      </c>
      <c r="M2" s="83" t="s">
        <v>39</v>
      </c>
      <c r="N2" s="79" t="s">
        <v>40</v>
      </c>
      <c r="O2" s="20" t="s">
        <v>46</v>
      </c>
      <c r="P2" s="301"/>
      <c r="Q2" s="291"/>
      <c r="R2" s="304"/>
      <c r="S2" s="289"/>
      <c r="T2" s="289"/>
      <c r="U2" s="289"/>
      <c r="V2" s="289"/>
      <c r="W2" s="289"/>
      <c r="X2" s="289"/>
      <c r="Y2" s="289"/>
      <c r="Z2" s="295"/>
      <c r="AA2" s="291"/>
      <c r="AB2" s="293"/>
      <c r="AC2" s="295"/>
      <c r="AD2" s="297"/>
      <c r="AE2" s="291"/>
      <c r="AF2" s="293"/>
      <c r="AG2" s="38"/>
      <c r="AH2" s="289"/>
    </row>
    <row r="3" spans="1:34" ht="15.75">
      <c r="A3" s="13"/>
      <c r="B3" s="35" t="s">
        <v>12</v>
      </c>
      <c r="C3" s="13"/>
      <c r="D3" s="8"/>
      <c r="E3" s="14"/>
      <c r="F3" s="39"/>
      <c r="G3" s="113"/>
      <c r="H3" s="76"/>
      <c r="I3" s="76"/>
      <c r="J3" s="76"/>
      <c r="L3" s="81"/>
      <c r="M3" s="81"/>
      <c r="N3" s="75"/>
      <c r="O3" s="82"/>
      <c r="P3" s="13"/>
      <c r="Q3" s="9"/>
      <c r="R3" s="14"/>
      <c r="S3" s="22"/>
      <c r="T3" s="39"/>
      <c r="U3" s="40"/>
      <c r="V3" s="39"/>
      <c r="W3" s="39"/>
      <c r="X3" s="40"/>
      <c r="Y3" s="8"/>
      <c r="Z3" s="92"/>
      <c r="AA3" s="8"/>
      <c r="AB3" s="14"/>
      <c r="AC3" s="13"/>
      <c r="AD3" s="41"/>
      <c r="AE3" s="8"/>
      <c r="AF3" s="42"/>
      <c r="AG3" s="43"/>
      <c r="AH3" s="44"/>
    </row>
    <row r="4" spans="1:34" s="33" customFormat="1" ht="15.75">
      <c r="A4" s="15">
        <v>1</v>
      </c>
      <c r="B4" s="46" t="s">
        <v>3</v>
      </c>
      <c r="C4" s="15">
        <v>2903.9</v>
      </c>
      <c r="D4" s="10"/>
      <c r="E4" s="47" t="e">
        <f>#REF!</f>
        <v>#REF!</v>
      </c>
      <c r="F4" s="48">
        <v>30032</v>
      </c>
      <c r="G4" s="114"/>
      <c r="H4" s="48" t="e">
        <f>#REF!</f>
        <v>#REF!</v>
      </c>
      <c r="I4" s="48"/>
      <c r="J4" s="48" t="e">
        <f>#REF!</f>
        <v>#REF!</v>
      </c>
      <c r="K4" s="49"/>
      <c r="L4" s="50"/>
      <c r="M4" s="50"/>
      <c r="N4" s="46">
        <v>3069</v>
      </c>
      <c r="O4" s="47"/>
      <c r="P4" s="51" t="e">
        <f>SUM(E4:O4)</f>
        <v>#REF!</v>
      </c>
      <c r="Q4" s="1" t="e">
        <f>(P4-J4)/1.4</f>
        <v>#REF!</v>
      </c>
      <c r="R4" s="16" t="e">
        <f>P4-Q4+J4</f>
        <v>#REF!</v>
      </c>
      <c r="S4" s="23">
        <v>1250</v>
      </c>
      <c r="T4" s="48">
        <v>1320</v>
      </c>
      <c r="U4" s="26"/>
      <c r="V4" s="91">
        <v>7735.2</v>
      </c>
      <c r="W4" s="48">
        <f>2895.8+330+23014.2</f>
        <v>26240</v>
      </c>
      <c r="X4" s="26"/>
      <c r="Y4" s="10">
        <v>2240</v>
      </c>
      <c r="Z4" s="89">
        <f aca="true" t="shared" si="0" ref="Z4:Z14">SUM(S4:Y4)</f>
        <v>38785.2</v>
      </c>
      <c r="AA4" s="12">
        <f>Z4/1.4</f>
        <v>27703.714285714286</v>
      </c>
      <c r="AB4" s="16">
        <f>Z4-AA4</f>
        <v>11081.48571428571</v>
      </c>
      <c r="AC4" s="51" t="e">
        <f aca="true" t="shared" si="1" ref="AC4:AC18">P4+Z4</f>
        <v>#REF!</v>
      </c>
      <c r="AD4" s="1" t="e">
        <f aca="true" t="shared" si="2" ref="AD4:AD18">Q4+AA4</f>
        <v>#REF!</v>
      </c>
      <c r="AE4" s="1" t="e">
        <f aca="true" t="shared" si="3" ref="AE4:AE18">R4</f>
        <v>#REF!</v>
      </c>
      <c r="AF4" s="16">
        <f>AB4</f>
        <v>11081.48571428571</v>
      </c>
      <c r="AG4" s="52"/>
      <c r="AH4" s="52"/>
    </row>
    <row r="5" spans="1:34" s="33" customFormat="1" ht="15.75">
      <c r="A5" s="15">
        <f>A4+1</f>
        <v>2</v>
      </c>
      <c r="B5" s="46" t="s">
        <v>2</v>
      </c>
      <c r="C5" s="15">
        <v>1754.7</v>
      </c>
      <c r="D5" s="10"/>
      <c r="E5" s="47" t="e">
        <f>#REF!</f>
        <v>#REF!</v>
      </c>
      <c r="F5" s="48">
        <v>21303</v>
      </c>
      <c r="G5" s="114"/>
      <c r="H5" s="48" t="e">
        <f>#REF!</f>
        <v>#REF!</v>
      </c>
      <c r="I5" s="48"/>
      <c r="J5" s="48" t="e">
        <f>#REF!</f>
        <v>#REF!</v>
      </c>
      <c r="K5" s="49"/>
      <c r="L5" s="50"/>
      <c r="M5" s="50"/>
      <c r="N5" s="46">
        <v>500</v>
      </c>
      <c r="O5" s="47"/>
      <c r="P5" s="51" t="e">
        <f aca="true" t="shared" si="4" ref="P5:P33">SUM(E5:O5)</f>
        <v>#REF!</v>
      </c>
      <c r="Q5" s="1" t="e">
        <f aca="true" t="shared" si="5" ref="Q5:Q18">(P5-J5)/1.4</f>
        <v>#REF!</v>
      </c>
      <c r="R5" s="16" t="e">
        <f aca="true" t="shared" si="6" ref="R5:R33">P5-Q5</f>
        <v>#REF!</v>
      </c>
      <c r="S5" s="23">
        <v>1620</v>
      </c>
      <c r="T5" s="48">
        <v>700</v>
      </c>
      <c r="U5" s="26"/>
      <c r="V5" s="48">
        <v>5882</v>
      </c>
      <c r="W5" s="49">
        <v>3453.5</v>
      </c>
      <c r="X5" s="26">
        <v>658</v>
      </c>
      <c r="Y5" s="10">
        <v>9100</v>
      </c>
      <c r="Z5" s="89">
        <f t="shared" si="0"/>
        <v>21413.5</v>
      </c>
      <c r="AA5" s="12">
        <f aca="true" t="shared" si="7" ref="AA5:AA18">Z5/1.4</f>
        <v>15295.357142857143</v>
      </c>
      <c r="AB5" s="16">
        <f aca="true" t="shared" si="8" ref="AB5:AB18">Z5-AA5</f>
        <v>6118.142857142857</v>
      </c>
      <c r="AC5" s="51" t="e">
        <f t="shared" si="1"/>
        <v>#REF!</v>
      </c>
      <c r="AD5" s="1" t="e">
        <f t="shared" si="2"/>
        <v>#REF!</v>
      </c>
      <c r="AE5" s="1" t="e">
        <f t="shared" si="3"/>
        <v>#REF!</v>
      </c>
      <c r="AF5" s="16">
        <f aca="true" t="shared" si="9" ref="AF5:AF30">AB5</f>
        <v>6118.142857142857</v>
      </c>
      <c r="AG5" s="52"/>
      <c r="AH5" s="52"/>
    </row>
    <row r="6" spans="1:34" s="33" customFormat="1" ht="15.75">
      <c r="A6" s="15">
        <f aca="true" t="shared" si="10" ref="A6:A33">A5+1</f>
        <v>3</v>
      </c>
      <c r="B6" s="46" t="s">
        <v>6</v>
      </c>
      <c r="C6" s="15"/>
      <c r="D6" s="10">
        <v>730.5</v>
      </c>
      <c r="E6" s="47" t="e">
        <f>#REF!</f>
        <v>#REF!</v>
      </c>
      <c r="F6" s="48">
        <v>3091</v>
      </c>
      <c r="G6" s="114" t="e">
        <f>#REF!</f>
        <v>#REF!</v>
      </c>
      <c r="H6" s="48"/>
      <c r="I6" s="48"/>
      <c r="J6" s="48" t="e">
        <f>#REF!</f>
        <v>#REF!</v>
      </c>
      <c r="K6" s="49"/>
      <c r="L6" s="50"/>
      <c r="M6" s="50"/>
      <c r="N6" s="46"/>
      <c r="O6" s="47"/>
      <c r="P6" s="51" t="e">
        <f t="shared" si="4"/>
        <v>#REF!</v>
      </c>
      <c r="Q6" s="1" t="e">
        <f t="shared" si="5"/>
        <v>#REF!</v>
      </c>
      <c r="R6" s="16" t="e">
        <f t="shared" si="6"/>
        <v>#REF!</v>
      </c>
      <c r="S6" s="23"/>
      <c r="T6" s="48">
        <v>280</v>
      </c>
      <c r="U6" s="26"/>
      <c r="V6" s="48"/>
      <c r="W6" s="49"/>
      <c r="X6" s="26">
        <v>376</v>
      </c>
      <c r="Y6" s="10">
        <v>182.1</v>
      </c>
      <c r="Z6" s="89">
        <f t="shared" si="0"/>
        <v>838.1</v>
      </c>
      <c r="AA6" s="12">
        <f t="shared" si="7"/>
        <v>598.6428571428572</v>
      </c>
      <c r="AB6" s="16">
        <f t="shared" si="8"/>
        <v>239.4571428571428</v>
      </c>
      <c r="AC6" s="51" t="e">
        <f t="shared" si="1"/>
        <v>#REF!</v>
      </c>
      <c r="AD6" s="1" t="e">
        <f t="shared" si="2"/>
        <v>#REF!</v>
      </c>
      <c r="AE6" s="1" t="e">
        <f t="shared" si="3"/>
        <v>#REF!</v>
      </c>
      <c r="AF6" s="16">
        <f t="shared" si="9"/>
        <v>239.4571428571428</v>
      </c>
      <c r="AG6" s="52"/>
      <c r="AH6" s="52"/>
    </row>
    <row r="7" spans="1:34" s="33" customFormat="1" ht="15.75">
      <c r="A7" s="15">
        <f t="shared" si="10"/>
        <v>4</v>
      </c>
      <c r="B7" s="46" t="s">
        <v>8</v>
      </c>
      <c r="C7" s="15"/>
      <c r="D7" s="1">
        <v>20</v>
      </c>
      <c r="E7" s="47" t="e">
        <f>#REF!</f>
        <v>#REF!</v>
      </c>
      <c r="F7" s="48"/>
      <c r="G7" s="114" t="e">
        <f>#REF!</f>
        <v>#REF!</v>
      </c>
      <c r="H7" s="48"/>
      <c r="I7" s="48" t="e">
        <f>#REF!</f>
        <v>#REF!</v>
      </c>
      <c r="J7" s="48" t="e">
        <f>#REF!</f>
        <v>#REF!</v>
      </c>
      <c r="K7" s="49"/>
      <c r="L7" s="50"/>
      <c r="M7" s="50"/>
      <c r="N7" s="46"/>
      <c r="O7" s="47"/>
      <c r="P7" s="51" t="e">
        <f t="shared" si="4"/>
        <v>#REF!</v>
      </c>
      <c r="Q7" s="1" t="e">
        <f t="shared" si="5"/>
        <v>#REF!</v>
      </c>
      <c r="R7" s="16" t="e">
        <f t="shared" si="6"/>
        <v>#REF!</v>
      </c>
      <c r="S7" s="23"/>
      <c r="T7" s="48"/>
      <c r="U7" s="26"/>
      <c r="V7" s="48"/>
      <c r="W7" s="49"/>
      <c r="X7" s="26">
        <v>1880</v>
      </c>
      <c r="Y7" s="10"/>
      <c r="Z7" s="89">
        <f t="shared" si="0"/>
        <v>1880</v>
      </c>
      <c r="AA7" s="12">
        <f t="shared" si="7"/>
        <v>1342.857142857143</v>
      </c>
      <c r="AB7" s="16">
        <f t="shared" si="8"/>
        <v>537.1428571428571</v>
      </c>
      <c r="AC7" s="51" t="e">
        <f t="shared" si="1"/>
        <v>#REF!</v>
      </c>
      <c r="AD7" s="1" t="e">
        <f t="shared" si="2"/>
        <v>#REF!</v>
      </c>
      <c r="AE7" s="1" t="e">
        <f t="shared" si="3"/>
        <v>#REF!</v>
      </c>
      <c r="AF7" s="16">
        <f t="shared" si="9"/>
        <v>537.1428571428571</v>
      </c>
      <c r="AG7" s="52"/>
      <c r="AH7" s="52"/>
    </row>
    <row r="8" spans="1:34" s="33" customFormat="1" ht="15.75">
      <c r="A8" s="15">
        <f t="shared" si="10"/>
        <v>5</v>
      </c>
      <c r="B8" s="46" t="s">
        <v>9</v>
      </c>
      <c r="C8" s="15"/>
      <c r="D8" s="10"/>
      <c r="E8" s="47"/>
      <c r="F8" s="48"/>
      <c r="G8" s="114" t="e">
        <f>#REF!</f>
        <v>#REF!</v>
      </c>
      <c r="H8" s="48"/>
      <c r="I8" s="48" t="e">
        <f>#REF!</f>
        <v>#REF!</v>
      </c>
      <c r="J8" s="48" t="e">
        <f>#REF!</f>
        <v>#REF!</v>
      </c>
      <c r="K8" s="49"/>
      <c r="L8" s="50"/>
      <c r="M8" s="50"/>
      <c r="N8" s="46"/>
      <c r="O8" s="47"/>
      <c r="P8" s="51" t="e">
        <f t="shared" si="4"/>
        <v>#REF!</v>
      </c>
      <c r="Q8" s="1" t="e">
        <f t="shared" si="5"/>
        <v>#REF!</v>
      </c>
      <c r="R8" s="16" t="e">
        <f t="shared" si="6"/>
        <v>#REF!</v>
      </c>
      <c r="S8" s="23"/>
      <c r="T8" s="48"/>
      <c r="U8" s="26"/>
      <c r="V8" s="48"/>
      <c r="W8" s="49"/>
      <c r="X8" s="26">
        <v>423</v>
      </c>
      <c r="Y8" s="10"/>
      <c r="Z8" s="89">
        <f t="shared" si="0"/>
        <v>423</v>
      </c>
      <c r="AA8" s="12">
        <f t="shared" si="7"/>
        <v>302.14285714285717</v>
      </c>
      <c r="AB8" s="16">
        <f t="shared" si="8"/>
        <v>120.85714285714283</v>
      </c>
      <c r="AC8" s="51" t="e">
        <f t="shared" si="1"/>
        <v>#REF!</v>
      </c>
      <c r="AD8" s="1" t="e">
        <f t="shared" si="2"/>
        <v>#REF!</v>
      </c>
      <c r="AE8" s="1" t="e">
        <f t="shared" si="3"/>
        <v>#REF!</v>
      </c>
      <c r="AF8" s="16">
        <f t="shared" si="9"/>
        <v>120.85714285714283</v>
      </c>
      <c r="AG8" s="52"/>
      <c r="AH8" s="52"/>
    </row>
    <row r="9" spans="1:34" s="33" customFormat="1" ht="15.75">
      <c r="A9" s="15">
        <f t="shared" si="10"/>
        <v>6</v>
      </c>
      <c r="B9" s="46" t="s">
        <v>7</v>
      </c>
      <c r="C9" s="15"/>
      <c r="D9" s="10">
        <v>547.3</v>
      </c>
      <c r="E9" s="47" t="e">
        <f>#REF!</f>
        <v>#REF!</v>
      </c>
      <c r="F9" s="48"/>
      <c r="G9" s="114" t="e">
        <f>#REF!</f>
        <v>#REF!</v>
      </c>
      <c r="H9" s="48"/>
      <c r="I9" s="48" t="e">
        <f>#REF!</f>
        <v>#REF!</v>
      </c>
      <c r="J9" s="48" t="e">
        <f>#REF!</f>
        <v>#REF!</v>
      </c>
      <c r="K9" s="49"/>
      <c r="L9" s="50"/>
      <c r="M9" s="50"/>
      <c r="N9" s="46"/>
      <c r="O9" s="47"/>
      <c r="P9" s="51" t="e">
        <f t="shared" si="4"/>
        <v>#REF!</v>
      </c>
      <c r="Q9" s="1" t="e">
        <f t="shared" si="5"/>
        <v>#REF!</v>
      </c>
      <c r="R9" s="16" t="e">
        <f t="shared" si="6"/>
        <v>#REF!</v>
      </c>
      <c r="S9" s="23"/>
      <c r="T9" s="48"/>
      <c r="U9" s="26"/>
      <c r="V9" s="48"/>
      <c r="W9" s="49"/>
      <c r="X9" s="26">
        <v>70.5</v>
      </c>
      <c r="Y9" s="10"/>
      <c r="Z9" s="89">
        <f t="shared" si="0"/>
        <v>70.5</v>
      </c>
      <c r="AA9" s="12">
        <f t="shared" si="7"/>
        <v>50.35714285714286</v>
      </c>
      <c r="AB9" s="16">
        <f t="shared" si="8"/>
        <v>20.14285714285714</v>
      </c>
      <c r="AC9" s="51" t="e">
        <f t="shared" si="1"/>
        <v>#REF!</v>
      </c>
      <c r="AD9" s="1" t="e">
        <f t="shared" si="2"/>
        <v>#REF!</v>
      </c>
      <c r="AE9" s="1" t="e">
        <f t="shared" si="3"/>
        <v>#REF!</v>
      </c>
      <c r="AF9" s="16">
        <f t="shared" si="9"/>
        <v>20.14285714285714</v>
      </c>
      <c r="AG9" s="52"/>
      <c r="AH9" s="52"/>
    </row>
    <row r="10" spans="1:34" s="33" customFormat="1" ht="15.75">
      <c r="A10" s="15">
        <f t="shared" si="10"/>
        <v>7</v>
      </c>
      <c r="B10" s="46" t="s">
        <v>57</v>
      </c>
      <c r="C10" s="15">
        <v>30053.6</v>
      </c>
      <c r="D10" s="10"/>
      <c r="E10" s="47" t="e">
        <f>#REF!</f>
        <v>#REF!</v>
      </c>
      <c r="F10" s="48">
        <v>87744.5</v>
      </c>
      <c r="G10" s="114" t="e">
        <f>#REF!</f>
        <v>#REF!</v>
      </c>
      <c r="H10" s="48" t="e">
        <f>#REF!</f>
        <v>#REF!</v>
      </c>
      <c r="I10" s="48"/>
      <c r="J10" s="48" t="e">
        <f>#REF!</f>
        <v>#REF!</v>
      </c>
      <c r="K10" s="49"/>
      <c r="L10" s="50">
        <v>37970</v>
      </c>
      <c r="M10" s="50"/>
      <c r="N10" s="46"/>
      <c r="O10" s="47">
        <v>4550</v>
      </c>
      <c r="P10" s="51" t="e">
        <f t="shared" si="4"/>
        <v>#REF!</v>
      </c>
      <c r="Q10" s="1" t="e">
        <f t="shared" si="5"/>
        <v>#REF!</v>
      </c>
      <c r="R10" s="16" t="e">
        <f t="shared" si="6"/>
        <v>#REF!</v>
      </c>
      <c r="S10" s="23">
        <v>440</v>
      </c>
      <c r="T10" s="48">
        <v>402</v>
      </c>
      <c r="U10" s="25">
        <v>967</v>
      </c>
      <c r="V10" s="48">
        <f>8687+34902</f>
        <v>43589</v>
      </c>
      <c r="W10" s="49"/>
      <c r="X10" s="26"/>
      <c r="Y10" s="10">
        <v>1920</v>
      </c>
      <c r="Z10" s="89">
        <f t="shared" si="0"/>
        <v>47318</v>
      </c>
      <c r="AA10" s="12">
        <f t="shared" si="7"/>
        <v>33798.57142857143</v>
      </c>
      <c r="AB10" s="16">
        <f t="shared" si="8"/>
        <v>13519.428571428572</v>
      </c>
      <c r="AC10" s="51" t="e">
        <f t="shared" si="1"/>
        <v>#REF!</v>
      </c>
      <c r="AD10" s="1" t="e">
        <f t="shared" si="2"/>
        <v>#REF!</v>
      </c>
      <c r="AE10" s="1" t="e">
        <f t="shared" si="3"/>
        <v>#REF!</v>
      </c>
      <c r="AF10" s="16">
        <f t="shared" si="9"/>
        <v>13519.428571428572</v>
      </c>
      <c r="AG10" s="52"/>
      <c r="AH10" s="52"/>
    </row>
    <row r="11" spans="1:34" s="33" customFormat="1" ht="15.75">
      <c r="A11" s="15">
        <f t="shared" si="10"/>
        <v>8</v>
      </c>
      <c r="B11" s="46" t="s">
        <v>1</v>
      </c>
      <c r="C11" s="51">
        <v>92493</v>
      </c>
      <c r="D11" s="1"/>
      <c r="E11" s="47" t="e">
        <f>#REF!</f>
        <v>#REF!</v>
      </c>
      <c r="F11" s="48">
        <v>114535.7</v>
      </c>
      <c r="G11" s="114" t="e">
        <f>#REF!</f>
        <v>#REF!</v>
      </c>
      <c r="H11" s="48"/>
      <c r="I11" s="48"/>
      <c r="J11" s="48" t="e">
        <f>#REF!</f>
        <v>#REF!</v>
      </c>
      <c r="K11" s="49"/>
      <c r="L11" s="50"/>
      <c r="M11" s="50"/>
      <c r="N11" s="46">
        <v>836.7</v>
      </c>
      <c r="O11" s="47">
        <v>27280</v>
      </c>
      <c r="P11" s="51" t="e">
        <f t="shared" si="4"/>
        <v>#REF!</v>
      </c>
      <c r="Q11" s="1" t="e">
        <f t="shared" si="5"/>
        <v>#REF!</v>
      </c>
      <c r="R11" s="16" t="e">
        <f t="shared" si="6"/>
        <v>#REF!</v>
      </c>
      <c r="S11" s="29"/>
      <c r="T11" s="48">
        <v>5400</v>
      </c>
      <c r="U11" s="25">
        <v>2761.7</v>
      </c>
      <c r="V11" s="48">
        <f>661+11200</f>
        <v>11861</v>
      </c>
      <c r="W11" s="48">
        <v>27225</v>
      </c>
      <c r="X11" s="26">
        <v>470</v>
      </c>
      <c r="Y11" s="10">
        <v>5310</v>
      </c>
      <c r="Z11" s="89">
        <f t="shared" si="0"/>
        <v>53027.7</v>
      </c>
      <c r="AA11" s="12">
        <f t="shared" si="7"/>
        <v>37876.92857142857</v>
      </c>
      <c r="AB11" s="16">
        <f t="shared" si="8"/>
        <v>15150.771428571425</v>
      </c>
      <c r="AC11" s="51" t="e">
        <f t="shared" si="1"/>
        <v>#REF!</v>
      </c>
      <c r="AD11" s="1" t="e">
        <f t="shared" si="2"/>
        <v>#REF!</v>
      </c>
      <c r="AE11" s="1" t="e">
        <f t="shared" si="3"/>
        <v>#REF!</v>
      </c>
      <c r="AF11" s="16">
        <f t="shared" si="9"/>
        <v>15150.771428571425</v>
      </c>
      <c r="AG11" s="52"/>
      <c r="AH11" s="52"/>
    </row>
    <row r="12" spans="1:34" s="33" customFormat="1" ht="15.75">
      <c r="A12" s="15">
        <f t="shared" si="10"/>
        <v>9</v>
      </c>
      <c r="B12" s="46" t="s">
        <v>62</v>
      </c>
      <c r="C12" s="15">
        <v>4038.3</v>
      </c>
      <c r="D12" s="10"/>
      <c r="E12" s="47" t="e">
        <f>#REF!</f>
        <v>#REF!</v>
      </c>
      <c r="F12" s="48">
        <v>7244.5</v>
      </c>
      <c r="G12" s="114" t="e">
        <f>#REF!</f>
        <v>#REF!</v>
      </c>
      <c r="H12" s="48"/>
      <c r="I12" s="48"/>
      <c r="J12" s="48" t="e">
        <f>#REF!</f>
        <v>#REF!</v>
      </c>
      <c r="K12" s="49"/>
      <c r="L12" s="50"/>
      <c r="M12" s="50"/>
      <c r="N12" s="46"/>
      <c r="O12" s="47"/>
      <c r="P12" s="51" t="e">
        <f t="shared" si="4"/>
        <v>#REF!</v>
      </c>
      <c r="Q12" s="1" t="e">
        <f t="shared" si="5"/>
        <v>#REF!</v>
      </c>
      <c r="R12" s="16" t="e">
        <f t="shared" si="6"/>
        <v>#REF!</v>
      </c>
      <c r="S12" s="29"/>
      <c r="T12" s="48"/>
      <c r="U12" s="25"/>
      <c r="V12" s="49"/>
      <c r="W12" s="49"/>
      <c r="X12" s="26"/>
      <c r="Y12" s="10">
        <v>1828</v>
      </c>
      <c r="Z12" s="89">
        <f t="shared" si="0"/>
        <v>1828</v>
      </c>
      <c r="AA12" s="12">
        <f t="shared" si="7"/>
        <v>1305.7142857142858</v>
      </c>
      <c r="AB12" s="16">
        <f t="shared" si="8"/>
        <v>522.2857142857142</v>
      </c>
      <c r="AC12" s="51" t="e">
        <f t="shared" si="1"/>
        <v>#REF!</v>
      </c>
      <c r="AD12" s="1" t="e">
        <f t="shared" si="2"/>
        <v>#REF!</v>
      </c>
      <c r="AE12" s="1" t="e">
        <f t="shared" si="3"/>
        <v>#REF!</v>
      </c>
      <c r="AF12" s="16">
        <f t="shared" si="9"/>
        <v>522.2857142857142</v>
      </c>
      <c r="AG12" s="52"/>
      <c r="AH12" s="52"/>
    </row>
    <row r="13" spans="1:34" s="33" customFormat="1" ht="15.75">
      <c r="A13" s="15">
        <f t="shared" si="10"/>
        <v>10</v>
      </c>
      <c r="B13" s="46" t="s">
        <v>5</v>
      </c>
      <c r="C13" s="15">
        <v>1523.2</v>
      </c>
      <c r="D13" s="1">
        <v>13980.5</v>
      </c>
      <c r="E13" s="47" t="e">
        <f>#REF!</f>
        <v>#REF!</v>
      </c>
      <c r="F13" s="48">
        <v>6127.5</v>
      </c>
      <c r="G13" s="114"/>
      <c r="H13" s="48"/>
      <c r="I13" s="48"/>
      <c r="J13" s="48" t="e">
        <f>#REF!</f>
        <v>#REF!</v>
      </c>
      <c r="K13" s="49"/>
      <c r="L13" s="74"/>
      <c r="M13" s="50"/>
      <c r="N13" s="46"/>
      <c r="O13" s="47"/>
      <c r="P13" s="51" t="e">
        <f t="shared" si="4"/>
        <v>#REF!</v>
      </c>
      <c r="Q13" s="1" t="e">
        <f t="shared" si="5"/>
        <v>#REF!</v>
      </c>
      <c r="R13" s="16" t="e">
        <f t="shared" si="6"/>
        <v>#REF!</v>
      </c>
      <c r="S13" s="29"/>
      <c r="T13" s="48"/>
      <c r="U13" s="25"/>
      <c r="V13" s="49"/>
      <c r="W13" s="49"/>
      <c r="X13" s="26">
        <v>705</v>
      </c>
      <c r="Y13" s="10">
        <v>345</v>
      </c>
      <c r="Z13" s="89">
        <f t="shared" si="0"/>
        <v>1050</v>
      </c>
      <c r="AA13" s="12">
        <f t="shared" si="7"/>
        <v>750</v>
      </c>
      <c r="AB13" s="16">
        <f t="shared" si="8"/>
        <v>300</v>
      </c>
      <c r="AC13" s="51" t="e">
        <f t="shared" si="1"/>
        <v>#REF!</v>
      </c>
      <c r="AD13" s="1" t="e">
        <f t="shared" si="2"/>
        <v>#REF!</v>
      </c>
      <c r="AE13" s="1" t="e">
        <f t="shared" si="3"/>
        <v>#REF!</v>
      </c>
      <c r="AF13" s="16">
        <f t="shared" si="9"/>
        <v>300</v>
      </c>
      <c r="AG13" s="52"/>
      <c r="AH13" s="52"/>
    </row>
    <row r="14" spans="1:34" s="33" customFormat="1" ht="15.75">
      <c r="A14" s="15">
        <f t="shared" si="10"/>
        <v>11</v>
      </c>
      <c r="B14" s="46" t="s">
        <v>4</v>
      </c>
      <c r="C14" s="15">
        <v>6272.5</v>
      </c>
      <c r="D14" s="1">
        <v>2752</v>
      </c>
      <c r="E14" s="47" t="e">
        <f>#REF!</f>
        <v>#REF!</v>
      </c>
      <c r="F14" s="48">
        <v>6433.5</v>
      </c>
      <c r="G14" s="114"/>
      <c r="H14" s="48"/>
      <c r="I14" s="48"/>
      <c r="J14" s="48" t="e">
        <f>#REF!</f>
        <v>#REF!</v>
      </c>
      <c r="K14" s="49"/>
      <c r="L14" s="50">
        <v>2730</v>
      </c>
      <c r="M14" s="50"/>
      <c r="N14" s="46"/>
      <c r="O14" s="47">
        <v>800</v>
      </c>
      <c r="P14" s="51" t="e">
        <f t="shared" si="4"/>
        <v>#REF!</v>
      </c>
      <c r="Q14" s="1" t="e">
        <f t="shared" si="5"/>
        <v>#REF!</v>
      </c>
      <c r="R14" s="16" t="e">
        <f t="shared" si="6"/>
        <v>#REF!</v>
      </c>
      <c r="S14" s="29"/>
      <c r="T14" s="48">
        <v>5200</v>
      </c>
      <c r="U14" s="25">
        <v>930</v>
      </c>
      <c r="V14" s="49"/>
      <c r="W14" s="49">
        <v>772.2</v>
      </c>
      <c r="X14" s="26"/>
      <c r="Y14" s="10">
        <v>1171</v>
      </c>
      <c r="Z14" s="89">
        <f t="shared" si="0"/>
        <v>8073.2</v>
      </c>
      <c r="AA14" s="12">
        <f t="shared" si="7"/>
        <v>5766.571428571428</v>
      </c>
      <c r="AB14" s="16">
        <f t="shared" si="8"/>
        <v>2306.6285714285714</v>
      </c>
      <c r="AC14" s="51" t="e">
        <f t="shared" si="1"/>
        <v>#REF!</v>
      </c>
      <c r="AD14" s="1" t="e">
        <f t="shared" si="2"/>
        <v>#REF!</v>
      </c>
      <c r="AE14" s="1" t="e">
        <f t="shared" si="3"/>
        <v>#REF!</v>
      </c>
      <c r="AF14" s="16">
        <f t="shared" si="9"/>
        <v>2306.6285714285714</v>
      </c>
      <c r="AG14" s="52"/>
      <c r="AH14" s="52"/>
    </row>
    <row r="15" spans="1:34" s="33" customFormat="1" ht="15.75">
      <c r="A15" s="15">
        <f t="shared" si="10"/>
        <v>12</v>
      </c>
      <c r="B15" s="46" t="s">
        <v>27</v>
      </c>
      <c r="C15" s="15"/>
      <c r="D15" s="10">
        <v>2183.9</v>
      </c>
      <c r="E15" s="47" t="e">
        <f>#REF!</f>
        <v>#REF!</v>
      </c>
      <c r="F15" s="48"/>
      <c r="G15" s="114" t="e">
        <f>#REF!</f>
        <v>#REF!</v>
      </c>
      <c r="H15" s="48"/>
      <c r="I15" s="48" t="e">
        <f>#REF!</f>
        <v>#REF!</v>
      </c>
      <c r="J15" s="48" t="e">
        <f>#REF!</f>
        <v>#REF!</v>
      </c>
      <c r="K15" s="49"/>
      <c r="L15" s="50"/>
      <c r="M15" s="50"/>
      <c r="N15" s="46"/>
      <c r="O15" s="47"/>
      <c r="P15" s="51" t="e">
        <f t="shared" si="4"/>
        <v>#REF!</v>
      </c>
      <c r="Q15" s="1" t="e">
        <f t="shared" si="5"/>
        <v>#REF!</v>
      </c>
      <c r="R15" s="16" t="e">
        <f t="shared" si="6"/>
        <v>#REF!</v>
      </c>
      <c r="S15" s="29"/>
      <c r="T15" s="48"/>
      <c r="U15" s="25"/>
      <c r="V15" s="49"/>
      <c r="W15" s="49"/>
      <c r="X15" s="26"/>
      <c r="Y15" s="10"/>
      <c r="Z15" s="89"/>
      <c r="AA15" s="12"/>
      <c r="AB15" s="16"/>
      <c r="AC15" s="51" t="e">
        <f t="shared" si="1"/>
        <v>#REF!</v>
      </c>
      <c r="AD15" s="1" t="e">
        <f t="shared" si="2"/>
        <v>#REF!</v>
      </c>
      <c r="AE15" s="1" t="e">
        <f t="shared" si="3"/>
        <v>#REF!</v>
      </c>
      <c r="AF15" s="16">
        <f t="shared" si="9"/>
        <v>0</v>
      </c>
      <c r="AG15" s="52"/>
      <c r="AH15" s="52"/>
    </row>
    <row r="16" spans="1:34" s="33" customFormat="1" ht="15.75">
      <c r="A16" s="15">
        <f t="shared" si="10"/>
        <v>13</v>
      </c>
      <c r="B16" s="46" t="s">
        <v>10</v>
      </c>
      <c r="C16" s="15">
        <v>27846.9</v>
      </c>
      <c r="D16" s="10"/>
      <c r="E16" s="47"/>
      <c r="F16" s="48">
        <v>27428.9</v>
      </c>
      <c r="G16" s="114"/>
      <c r="H16" s="48"/>
      <c r="I16" s="48"/>
      <c r="J16" s="48" t="e">
        <f>#REF!</f>
        <v>#REF!</v>
      </c>
      <c r="K16" s="49"/>
      <c r="L16" s="50">
        <v>16000</v>
      </c>
      <c r="M16" s="50"/>
      <c r="N16" s="46"/>
      <c r="O16" s="47"/>
      <c r="P16" s="51" t="e">
        <f t="shared" si="4"/>
        <v>#REF!</v>
      </c>
      <c r="Q16" s="1" t="e">
        <f t="shared" si="5"/>
        <v>#REF!</v>
      </c>
      <c r="R16" s="16" t="e">
        <f t="shared" si="6"/>
        <v>#REF!</v>
      </c>
      <c r="S16" s="29"/>
      <c r="T16" s="48">
        <v>900</v>
      </c>
      <c r="U16" s="25"/>
      <c r="V16" s="49">
        <f>6665.7*2</f>
        <v>13331.4</v>
      </c>
      <c r="W16" s="49"/>
      <c r="X16" s="26"/>
      <c r="Y16" s="10">
        <v>185</v>
      </c>
      <c r="Z16" s="89">
        <f>SUM(S16:Y16)</f>
        <v>14416.4</v>
      </c>
      <c r="AA16" s="12">
        <f t="shared" si="7"/>
        <v>10297.428571428572</v>
      </c>
      <c r="AB16" s="16">
        <f t="shared" si="8"/>
        <v>4118.971428571427</v>
      </c>
      <c r="AC16" s="51" t="e">
        <f t="shared" si="1"/>
        <v>#REF!</v>
      </c>
      <c r="AD16" s="1" t="e">
        <f t="shared" si="2"/>
        <v>#REF!</v>
      </c>
      <c r="AE16" s="1" t="e">
        <f t="shared" si="3"/>
        <v>#REF!</v>
      </c>
      <c r="AF16" s="16">
        <f t="shared" si="9"/>
        <v>4118.971428571427</v>
      </c>
      <c r="AG16" s="52"/>
      <c r="AH16" s="52"/>
    </row>
    <row r="17" spans="1:34" s="33" customFormat="1" ht="15.75">
      <c r="A17" s="15">
        <f t="shared" si="10"/>
        <v>14</v>
      </c>
      <c r="B17" s="46" t="s">
        <v>35</v>
      </c>
      <c r="C17" s="15"/>
      <c r="D17" s="10"/>
      <c r="E17" s="47"/>
      <c r="F17" s="49"/>
      <c r="G17" s="114" t="e">
        <f>#REF!</f>
        <v>#REF!</v>
      </c>
      <c r="H17" s="48"/>
      <c r="I17" s="48" t="e">
        <f>#REF!</f>
        <v>#REF!</v>
      </c>
      <c r="J17" s="48" t="e">
        <f>#REF!</f>
        <v>#REF!</v>
      </c>
      <c r="K17" s="49"/>
      <c r="L17" s="50"/>
      <c r="M17" s="50"/>
      <c r="N17" s="46"/>
      <c r="O17" s="47">
        <v>9090</v>
      </c>
      <c r="P17" s="51" t="e">
        <f t="shared" si="4"/>
        <v>#REF!</v>
      </c>
      <c r="Q17" s="1" t="e">
        <f t="shared" si="5"/>
        <v>#REF!</v>
      </c>
      <c r="R17" s="16" t="e">
        <f t="shared" si="6"/>
        <v>#REF!</v>
      </c>
      <c r="S17" s="29"/>
      <c r="T17" s="49"/>
      <c r="U17" s="26"/>
      <c r="V17" s="49"/>
      <c r="W17" s="49"/>
      <c r="X17" s="26">
        <v>188</v>
      </c>
      <c r="Y17" s="10">
        <v>356.2</v>
      </c>
      <c r="Z17" s="89">
        <f>SUM(S17:Y17)</f>
        <v>544.2</v>
      </c>
      <c r="AA17" s="12">
        <f t="shared" si="7"/>
        <v>388.7142857142858</v>
      </c>
      <c r="AB17" s="16">
        <f t="shared" si="8"/>
        <v>155.48571428571427</v>
      </c>
      <c r="AC17" s="51" t="e">
        <f t="shared" si="1"/>
        <v>#REF!</v>
      </c>
      <c r="AD17" s="1" t="e">
        <f t="shared" si="2"/>
        <v>#REF!</v>
      </c>
      <c r="AE17" s="1" t="e">
        <f t="shared" si="3"/>
        <v>#REF!</v>
      </c>
      <c r="AF17" s="16">
        <f t="shared" si="9"/>
        <v>155.48571428571427</v>
      </c>
      <c r="AG17" s="52"/>
      <c r="AH17" s="52"/>
    </row>
    <row r="18" spans="1:34" s="33" customFormat="1" ht="26.25">
      <c r="A18" s="15">
        <f t="shared" si="10"/>
        <v>15</v>
      </c>
      <c r="B18" s="46" t="s">
        <v>11</v>
      </c>
      <c r="C18" s="15">
        <v>1520.6</v>
      </c>
      <c r="D18" s="10"/>
      <c r="E18" s="47" t="e">
        <f>#REF!</f>
        <v>#REF!</v>
      </c>
      <c r="F18" s="49"/>
      <c r="G18" s="114"/>
      <c r="H18" s="48" t="e">
        <f>#REF!</f>
        <v>#REF!</v>
      </c>
      <c r="I18" s="48"/>
      <c r="J18" s="48"/>
      <c r="K18" s="49"/>
      <c r="L18" s="50"/>
      <c r="M18" s="50"/>
      <c r="N18" s="46"/>
      <c r="O18" s="47"/>
      <c r="P18" s="51" t="e">
        <f t="shared" si="4"/>
        <v>#REF!</v>
      </c>
      <c r="Q18" s="1" t="e">
        <f t="shared" si="5"/>
        <v>#REF!</v>
      </c>
      <c r="R18" s="16" t="e">
        <f t="shared" si="6"/>
        <v>#REF!</v>
      </c>
      <c r="S18" s="29"/>
      <c r="T18" s="49"/>
      <c r="U18" s="26"/>
      <c r="V18" s="48">
        <v>38080</v>
      </c>
      <c r="W18" s="49">
        <v>742.5</v>
      </c>
      <c r="X18" s="26"/>
      <c r="Y18" s="10">
        <v>134</v>
      </c>
      <c r="Z18" s="89">
        <f>SUM(S18:Y18)</f>
        <v>38956.5</v>
      </c>
      <c r="AA18" s="12">
        <f t="shared" si="7"/>
        <v>27826.07142857143</v>
      </c>
      <c r="AB18" s="16">
        <f t="shared" si="8"/>
        <v>11130.428571428569</v>
      </c>
      <c r="AC18" s="51" t="e">
        <f t="shared" si="1"/>
        <v>#REF!</v>
      </c>
      <c r="AD18" s="1" t="e">
        <f t="shared" si="2"/>
        <v>#REF!</v>
      </c>
      <c r="AE18" s="1" t="e">
        <f t="shared" si="3"/>
        <v>#REF!</v>
      </c>
      <c r="AF18" s="16">
        <f t="shared" si="9"/>
        <v>11130.428571428569</v>
      </c>
      <c r="AG18" s="52"/>
      <c r="AH18" s="52"/>
    </row>
    <row r="19" spans="1:34" s="33" customFormat="1" ht="15.75">
      <c r="A19" s="15"/>
      <c r="B19" s="53" t="s">
        <v>13</v>
      </c>
      <c r="C19" s="15"/>
      <c r="D19" s="10"/>
      <c r="E19" s="47"/>
      <c r="F19" s="49"/>
      <c r="G19" s="114"/>
      <c r="H19" s="48"/>
      <c r="I19" s="48"/>
      <c r="J19" s="48"/>
      <c r="K19" s="49"/>
      <c r="L19" s="50"/>
      <c r="M19" s="50"/>
      <c r="N19" s="46"/>
      <c r="O19" s="47"/>
      <c r="P19" s="51"/>
      <c r="Q19" s="10"/>
      <c r="R19" s="16"/>
      <c r="S19" s="29"/>
      <c r="T19" s="49"/>
      <c r="U19" s="26"/>
      <c r="V19" s="49"/>
      <c r="W19" s="49"/>
      <c r="X19" s="26"/>
      <c r="Y19" s="10"/>
      <c r="Z19" s="89"/>
      <c r="AA19" s="12"/>
      <c r="AB19" s="47"/>
      <c r="AC19" s="51"/>
      <c r="AD19" s="1"/>
      <c r="AE19" s="1"/>
      <c r="AF19" s="16"/>
      <c r="AG19" s="52"/>
      <c r="AH19" s="52"/>
    </row>
    <row r="20" spans="1:34" s="33" customFormat="1" ht="17.25" customHeight="1">
      <c r="A20" s="15">
        <f t="shared" si="10"/>
        <v>1</v>
      </c>
      <c r="B20" s="46" t="s">
        <v>14</v>
      </c>
      <c r="C20" s="15"/>
      <c r="D20" s="10"/>
      <c r="E20" s="47"/>
      <c r="F20" s="49"/>
      <c r="G20" s="114"/>
      <c r="H20" s="48"/>
      <c r="I20" s="48"/>
      <c r="J20" s="48"/>
      <c r="K20" s="49"/>
      <c r="L20" s="50"/>
      <c r="M20" s="50"/>
      <c r="N20" s="46"/>
      <c r="O20" s="47"/>
      <c r="P20" s="51"/>
      <c r="Q20" s="10"/>
      <c r="R20" s="16"/>
      <c r="S20" s="29"/>
      <c r="T20" s="49"/>
      <c r="U20" s="26"/>
      <c r="V20" s="49"/>
      <c r="W20" s="49"/>
      <c r="X20" s="26">
        <f>7016-5700</f>
        <v>1316</v>
      </c>
      <c r="Y20" s="10"/>
      <c r="Z20" s="89">
        <f>SUM(S20:Y20)</f>
        <v>1316</v>
      </c>
      <c r="AA20" s="12">
        <f>Z20/1.1</f>
        <v>1196.3636363636363</v>
      </c>
      <c r="AB20" s="54">
        <f>Z20-AA20</f>
        <v>119.63636363636374</v>
      </c>
      <c r="AC20" s="51">
        <f aca="true" t="shared" si="11" ref="AC20:AC33">P20+Z20</f>
        <v>1316</v>
      </c>
      <c r="AD20" s="1">
        <f aca="true" t="shared" si="12" ref="AD20:AD33">Q20+AA20</f>
        <v>1196.3636363636363</v>
      </c>
      <c r="AE20" s="1">
        <f aca="true" t="shared" si="13" ref="AE20:AE33">R20</f>
        <v>0</v>
      </c>
      <c r="AF20" s="16">
        <f t="shared" si="9"/>
        <v>119.63636363636374</v>
      </c>
      <c r="AG20" s="52"/>
      <c r="AH20" s="52"/>
    </row>
    <row r="21" spans="1:34" s="33" customFormat="1" ht="15.75">
      <c r="A21" s="15">
        <f t="shared" si="10"/>
        <v>2</v>
      </c>
      <c r="B21" s="55" t="s">
        <v>34</v>
      </c>
      <c r="C21" s="15"/>
      <c r="D21" s="10"/>
      <c r="E21" s="47" t="e">
        <f>#REF!</f>
        <v>#REF!</v>
      </c>
      <c r="F21" s="49">
        <v>727.1</v>
      </c>
      <c r="G21" s="114"/>
      <c r="H21" s="48"/>
      <c r="I21" s="48"/>
      <c r="J21" s="48"/>
      <c r="K21" s="49"/>
      <c r="L21" s="50"/>
      <c r="M21" s="50"/>
      <c r="N21" s="46"/>
      <c r="O21" s="47"/>
      <c r="P21" s="51" t="e">
        <f t="shared" si="4"/>
        <v>#REF!</v>
      </c>
      <c r="Q21" s="1" t="e">
        <f>(P21-J20)/1.1</f>
        <v>#REF!</v>
      </c>
      <c r="R21" s="16" t="e">
        <f t="shared" si="6"/>
        <v>#REF!</v>
      </c>
      <c r="S21" s="29"/>
      <c r="T21" s="49"/>
      <c r="U21" s="26"/>
      <c r="V21" s="49"/>
      <c r="W21" s="49"/>
      <c r="X21" s="26"/>
      <c r="Y21" s="10">
        <v>68.7</v>
      </c>
      <c r="Z21" s="89">
        <f>SUM(S21:Y21)</f>
        <v>68.7</v>
      </c>
      <c r="AA21" s="12">
        <f>Z21/1.1</f>
        <v>62.45454545454545</v>
      </c>
      <c r="AB21" s="54">
        <f>Z21-AA21</f>
        <v>6.24545454545455</v>
      </c>
      <c r="AC21" s="51" t="e">
        <f t="shared" si="11"/>
        <v>#REF!</v>
      </c>
      <c r="AD21" s="1" t="e">
        <f t="shared" si="12"/>
        <v>#REF!</v>
      </c>
      <c r="AE21" s="1" t="e">
        <f t="shared" si="13"/>
        <v>#REF!</v>
      </c>
      <c r="AF21" s="16">
        <f t="shared" si="9"/>
        <v>6.24545454545455</v>
      </c>
      <c r="AG21" s="52"/>
      <c r="AH21" s="52"/>
    </row>
    <row r="22" spans="1:34" ht="15.75">
      <c r="A22" s="15">
        <f t="shared" si="10"/>
        <v>3</v>
      </c>
      <c r="B22" s="55" t="s">
        <v>16</v>
      </c>
      <c r="C22" s="56"/>
      <c r="D22" s="11">
        <v>624.7</v>
      </c>
      <c r="E22" s="47" t="e">
        <f>#REF!</f>
        <v>#REF!</v>
      </c>
      <c r="F22" s="5"/>
      <c r="G22" s="114"/>
      <c r="H22" s="48"/>
      <c r="I22" s="48"/>
      <c r="J22" s="48"/>
      <c r="K22" s="49"/>
      <c r="L22" s="57"/>
      <c r="M22" s="57"/>
      <c r="N22" s="55"/>
      <c r="O22" s="31"/>
      <c r="P22" s="51" t="e">
        <f t="shared" si="4"/>
        <v>#REF!</v>
      </c>
      <c r="Q22" s="1" t="e">
        <f aca="true" t="shared" si="14" ref="Q22:Q33">(P22-J21)/1.1</f>
        <v>#REF!</v>
      </c>
      <c r="R22" s="16" t="e">
        <f t="shared" si="6"/>
        <v>#REF!</v>
      </c>
      <c r="S22" s="29"/>
      <c r="T22" s="5"/>
      <c r="U22" s="27"/>
      <c r="V22" s="5"/>
      <c r="W22" s="5"/>
      <c r="X22" s="27">
        <v>329</v>
      </c>
      <c r="Y22" s="11"/>
      <c r="Z22" s="89">
        <f>SUM(S22:Y22)</f>
        <v>329</v>
      </c>
      <c r="AA22" s="12">
        <f aca="true" t="shared" si="15" ref="AA22:AA30">Z22/1.1</f>
        <v>299.09090909090907</v>
      </c>
      <c r="AB22" s="54">
        <f aca="true" t="shared" si="16" ref="AB22:AB30">Z22-AA22</f>
        <v>29.909090909090935</v>
      </c>
      <c r="AC22" s="51" t="e">
        <f t="shared" si="11"/>
        <v>#REF!</v>
      </c>
      <c r="AD22" s="1" t="e">
        <f t="shared" si="12"/>
        <v>#REF!</v>
      </c>
      <c r="AE22" s="1" t="e">
        <f t="shared" si="13"/>
        <v>#REF!</v>
      </c>
      <c r="AF22" s="16">
        <f t="shared" si="9"/>
        <v>29.909090909090935</v>
      </c>
      <c r="AG22" s="58"/>
      <c r="AH22" s="58"/>
    </row>
    <row r="23" spans="1:34" ht="15.75">
      <c r="A23" s="15">
        <f t="shared" si="10"/>
        <v>4</v>
      </c>
      <c r="B23" s="55" t="s">
        <v>28</v>
      </c>
      <c r="C23" s="56"/>
      <c r="D23" s="11">
        <v>934.9</v>
      </c>
      <c r="E23" s="47" t="e">
        <f>#REF!</f>
        <v>#REF!</v>
      </c>
      <c r="F23" s="5"/>
      <c r="G23" s="114"/>
      <c r="H23" s="48"/>
      <c r="I23" s="48"/>
      <c r="J23" s="48"/>
      <c r="K23" s="49"/>
      <c r="L23" s="57"/>
      <c r="M23" s="57"/>
      <c r="N23" s="55"/>
      <c r="O23" s="31"/>
      <c r="P23" s="51" t="e">
        <f t="shared" si="4"/>
        <v>#REF!</v>
      </c>
      <c r="Q23" s="1" t="e">
        <f t="shared" si="14"/>
        <v>#REF!</v>
      </c>
      <c r="R23" s="16" t="e">
        <f t="shared" si="6"/>
        <v>#REF!</v>
      </c>
      <c r="S23" s="29"/>
      <c r="T23" s="5"/>
      <c r="U23" s="27"/>
      <c r="V23" s="5"/>
      <c r="W23" s="5"/>
      <c r="X23" s="27"/>
      <c r="Y23" s="11"/>
      <c r="Z23" s="89"/>
      <c r="AA23" s="12"/>
      <c r="AB23" s="54"/>
      <c r="AC23" s="51" t="e">
        <f t="shared" si="11"/>
        <v>#REF!</v>
      </c>
      <c r="AD23" s="1" t="e">
        <f t="shared" si="12"/>
        <v>#REF!</v>
      </c>
      <c r="AE23" s="1" t="e">
        <f t="shared" si="13"/>
        <v>#REF!</v>
      </c>
      <c r="AF23" s="16">
        <f t="shared" si="9"/>
        <v>0</v>
      </c>
      <c r="AG23" s="58"/>
      <c r="AH23" s="58"/>
    </row>
    <row r="24" spans="1:34" s="111" customFormat="1" ht="15.75">
      <c r="A24" s="97">
        <f t="shared" si="10"/>
        <v>5</v>
      </c>
      <c r="B24" s="98" t="s">
        <v>15</v>
      </c>
      <c r="C24" s="97"/>
      <c r="D24" s="95"/>
      <c r="E24" s="47" t="e">
        <f>#REF!</f>
        <v>#REF!</v>
      </c>
      <c r="F24" s="49">
        <v>343.7</v>
      </c>
      <c r="G24" s="114"/>
      <c r="H24" s="48" t="e">
        <f>#REF!</f>
        <v>#REF!</v>
      </c>
      <c r="I24" s="48"/>
      <c r="J24" s="48">
        <v>3645</v>
      </c>
      <c r="K24" s="49"/>
      <c r="L24" s="101"/>
      <c r="M24" s="101"/>
      <c r="N24" s="98">
        <v>129.6</v>
      </c>
      <c r="O24" s="99"/>
      <c r="P24" s="102" t="e">
        <f t="shared" si="4"/>
        <v>#REF!</v>
      </c>
      <c r="Q24" s="1" t="e">
        <f t="shared" si="14"/>
        <v>#REF!</v>
      </c>
      <c r="R24" s="104" t="e">
        <f t="shared" si="6"/>
        <v>#REF!</v>
      </c>
      <c r="S24" s="105"/>
      <c r="T24" s="100"/>
      <c r="U24" s="106"/>
      <c r="V24" s="100"/>
      <c r="W24" s="100"/>
      <c r="X24" s="106"/>
      <c r="Y24" s="95">
        <v>419.3</v>
      </c>
      <c r="Z24" s="107">
        <f>SUM(S24:Y24)</f>
        <v>419.3</v>
      </c>
      <c r="AA24" s="108">
        <f>Z24/1.1</f>
        <v>381.1818181818182</v>
      </c>
      <c r="AB24" s="109">
        <f>Z24-AA24</f>
        <v>38.118181818181824</v>
      </c>
      <c r="AC24" s="102" t="e">
        <f t="shared" si="11"/>
        <v>#REF!</v>
      </c>
      <c r="AD24" s="103" t="e">
        <f t="shared" si="12"/>
        <v>#REF!</v>
      </c>
      <c r="AE24" s="103" t="e">
        <f t="shared" si="13"/>
        <v>#REF!</v>
      </c>
      <c r="AF24" s="104">
        <f t="shared" si="9"/>
        <v>38.118181818181824</v>
      </c>
      <c r="AG24" s="110"/>
      <c r="AH24" s="110"/>
    </row>
    <row r="25" spans="1:34" s="33" customFormat="1" ht="15.75">
      <c r="A25" s="15">
        <f t="shared" si="10"/>
        <v>6</v>
      </c>
      <c r="B25" s="46" t="s">
        <v>31</v>
      </c>
      <c r="C25" s="15"/>
      <c r="D25" s="10">
        <v>36.5</v>
      </c>
      <c r="E25" s="47" t="e">
        <f>#REF!</f>
        <v>#REF!</v>
      </c>
      <c r="F25" s="49"/>
      <c r="G25" s="114"/>
      <c r="H25" s="48"/>
      <c r="I25" s="48" t="e">
        <f>#REF!</f>
        <v>#REF!</v>
      </c>
      <c r="J25" s="48" t="e">
        <f>#REF!</f>
        <v>#REF!</v>
      </c>
      <c r="K25" s="49" t="e">
        <f>#REF!</f>
        <v>#REF!</v>
      </c>
      <c r="L25" s="50"/>
      <c r="M25" s="50"/>
      <c r="N25" s="46"/>
      <c r="O25" s="47"/>
      <c r="P25" s="51" t="e">
        <f t="shared" si="4"/>
        <v>#REF!</v>
      </c>
      <c r="Q25" s="1" t="e">
        <f t="shared" si="14"/>
        <v>#REF!</v>
      </c>
      <c r="R25" s="16" t="e">
        <f t="shared" si="6"/>
        <v>#REF!</v>
      </c>
      <c r="S25" s="29"/>
      <c r="T25" s="49"/>
      <c r="U25" s="26"/>
      <c r="V25" s="49"/>
      <c r="W25" s="49"/>
      <c r="X25" s="26">
        <v>423</v>
      </c>
      <c r="Y25" s="10">
        <v>82</v>
      </c>
      <c r="Z25" s="89">
        <f>SUM(S25:Y25)</f>
        <v>505</v>
      </c>
      <c r="AA25" s="12">
        <f t="shared" si="15"/>
        <v>459.09090909090907</v>
      </c>
      <c r="AB25" s="54">
        <f t="shared" si="16"/>
        <v>45.909090909090935</v>
      </c>
      <c r="AC25" s="51" t="e">
        <f t="shared" si="11"/>
        <v>#REF!</v>
      </c>
      <c r="AD25" s="1" t="e">
        <f t="shared" si="12"/>
        <v>#REF!</v>
      </c>
      <c r="AE25" s="1" t="e">
        <f t="shared" si="13"/>
        <v>#REF!</v>
      </c>
      <c r="AF25" s="16">
        <f t="shared" si="9"/>
        <v>45.909090909090935</v>
      </c>
      <c r="AG25" s="52"/>
      <c r="AH25" s="52"/>
    </row>
    <row r="26" spans="1:34" ht="15.75">
      <c r="A26" s="15">
        <f t="shared" si="10"/>
        <v>7</v>
      </c>
      <c r="B26" s="55" t="s">
        <v>58</v>
      </c>
      <c r="C26" s="56"/>
      <c r="D26" s="11"/>
      <c r="E26" s="47"/>
      <c r="F26" s="5"/>
      <c r="G26" s="114" t="e">
        <f>#REF!</f>
        <v>#REF!</v>
      </c>
      <c r="H26" s="48"/>
      <c r="I26" s="48" t="e">
        <f>#REF!</f>
        <v>#REF!</v>
      </c>
      <c r="J26" s="48"/>
      <c r="K26" s="49"/>
      <c r="L26" s="57"/>
      <c r="M26" s="57"/>
      <c r="N26" s="55"/>
      <c r="O26" s="31"/>
      <c r="P26" s="51" t="e">
        <f t="shared" si="4"/>
        <v>#REF!</v>
      </c>
      <c r="Q26" s="1" t="e">
        <f t="shared" si="14"/>
        <v>#REF!</v>
      </c>
      <c r="R26" s="16" t="e">
        <f t="shared" si="6"/>
        <v>#REF!</v>
      </c>
      <c r="S26" s="29"/>
      <c r="T26" s="5"/>
      <c r="U26" s="27"/>
      <c r="V26" s="5"/>
      <c r="W26" s="5"/>
      <c r="X26" s="27"/>
      <c r="Y26" s="11"/>
      <c r="Z26" s="89"/>
      <c r="AA26" s="12"/>
      <c r="AB26" s="54"/>
      <c r="AC26" s="51" t="e">
        <f t="shared" si="11"/>
        <v>#REF!</v>
      </c>
      <c r="AD26" s="1" t="e">
        <f t="shared" si="12"/>
        <v>#REF!</v>
      </c>
      <c r="AE26" s="1" t="e">
        <f t="shared" si="13"/>
        <v>#REF!</v>
      </c>
      <c r="AF26" s="16"/>
      <c r="AG26" s="58"/>
      <c r="AH26" s="58"/>
    </row>
    <row r="27" spans="1:34" ht="15.75">
      <c r="A27" s="15">
        <f t="shared" si="10"/>
        <v>8</v>
      </c>
      <c r="B27" s="59" t="s">
        <v>29</v>
      </c>
      <c r="C27" s="60"/>
      <c r="D27" s="61">
        <v>352.9</v>
      </c>
      <c r="E27" s="47" t="e">
        <f>#REF!</f>
        <v>#REF!</v>
      </c>
      <c r="F27" s="62"/>
      <c r="G27" s="114"/>
      <c r="H27" s="48"/>
      <c r="I27" s="48"/>
      <c r="J27" s="48"/>
      <c r="K27" s="49"/>
      <c r="L27" s="63"/>
      <c r="M27" s="63"/>
      <c r="N27" s="59"/>
      <c r="O27" s="78"/>
      <c r="P27" s="51" t="e">
        <f t="shared" si="4"/>
        <v>#REF!</v>
      </c>
      <c r="Q27" s="1" t="e">
        <f t="shared" si="14"/>
        <v>#REF!</v>
      </c>
      <c r="R27" s="16" t="e">
        <f t="shared" si="6"/>
        <v>#REF!</v>
      </c>
      <c r="S27" s="64"/>
      <c r="T27" s="62"/>
      <c r="U27" s="28"/>
      <c r="V27" s="62"/>
      <c r="W27" s="62"/>
      <c r="X27" s="28"/>
      <c r="Y27" s="11"/>
      <c r="Z27" s="89"/>
      <c r="AA27" s="12"/>
      <c r="AB27" s="54"/>
      <c r="AC27" s="51" t="e">
        <f t="shared" si="11"/>
        <v>#REF!</v>
      </c>
      <c r="AD27" s="1" t="e">
        <f t="shared" si="12"/>
        <v>#REF!</v>
      </c>
      <c r="AE27" s="1" t="e">
        <f t="shared" si="13"/>
        <v>#REF!</v>
      </c>
      <c r="AF27" s="16"/>
      <c r="AG27" s="65"/>
      <c r="AH27" s="65"/>
    </row>
    <row r="28" spans="1:34" ht="15.75">
      <c r="A28" s="15">
        <f t="shared" si="10"/>
        <v>9</v>
      </c>
      <c r="B28" s="59" t="s">
        <v>41</v>
      </c>
      <c r="C28" s="60"/>
      <c r="D28" s="61"/>
      <c r="E28" s="47"/>
      <c r="F28" s="62"/>
      <c r="G28" s="114" t="e">
        <f>#REF!</f>
        <v>#REF!</v>
      </c>
      <c r="H28" s="48" t="e">
        <f>#REF!</f>
        <v>#REF!</v>
      </c>
      <c r="I28" s="48" t="e">
        <f>#REF!</f>
        <v>#REF!</v>
      </c>
      <c r="J28" s="48" t="e">
        <f>#REF!</f>
        <v>#REF!</v>
      </c>
      <c r="K28" s="49"/>
      <c r="L28" s="63"/>
      <c r="M28" s="63"/>
      <c r="N28" s="59"/>
      <c r="O28" s="78"/>
      <c r="P28" s="51" t="e">
        <f t="shared" si="4"/>
        <v>#REF!</v>
      </c>
      <c r="Q28" s="1" t="e">
        <f t="shared" si="14"/>
        <v>#REF!</v>
      </c>
      <c r="R28" s="16" t="e">
        <f t="shared" si="6"/>
        <v>#REF!</v>
      </c>
      <c r="S28" s="64"/>
      <c r="T28" s="62"/>
      <c r="U28" s="28"/>
      <c r="V28" s="62"/>
      <c r="W28" s="62"/>
      <c r="X28" s="28">
        <v>235</v>
      </c>
      <c r="Y28" s="11"/>
      <c r="Z28" s="89">
        <f>SUM(S28:Y28)</f>
        <v>235</v>
      </c>
      <c r="AA28" s="12">
        <f t="shared" si="15"/>
        <v>213.63636363636363</v>
      </c>
      <c r="AB28" s="54">
        <f t="shared" si="16"/>
        <v>21.363636363636374</v>
      </c>
      <c r="AC28" s="51" t="e">
        <f t="shared" si="11"/>
        <v>#REF!</v>
      </c>
      <c r="AD28" s="1" t="e">
        <f t="shared" si="12"/>
        <v>#REF!</v>
      </c>
      <c r="AE28" s="1" t="e">
        <f t="shared" si="13"/>
        <v>#REF!</v>
      </c>
      <c r="AF28" s="16">
        <f t="shared" si="9"/>
        <v>21.363636363636374</v>
      </c>
      <c r="AG28" s="65"/>
      <c r="AH28" s="65"/>
    </row>
    <row r="29" spans="1:34" ht="15.75">
      <c r="A29" s="15">
        <f t="shared" si="10"/>
        <v>10</v>
      </c>
      <c r="B29" s="59" t="s">
        <v>32</v>
      </c>
      <c r="C29" s="60"/>
      <c r="D29" s="61">
        <v>17.6</v>
      </c>
      <c r="E29" s="47" t="e">
        <f>#REF!</f>
        <v>#REF!</v>
      </c>
      <c r="F29" s="62"/>
      <c r="G29" s="114" t="e">
        <f>#REF!</f>
        <v>#REF!</v>
      </c>
      <c r="H29" s="48"/>
      <c r="I29" s="48" t="e">
        <f>#REF!</f>
        <v>#REF!</v>
      </c>
      <c r="J29" s="48" t="e">
        <f>#REF!</f>
        <v>#REF!</v>
      </c>
      <c r="K29" s="49" t="e">
        <f>#REF!</f>
        <v>#REF!</v>
      </c>
      <c r="L29" s="63"/>
      <c r="M29" s="63"/>
      <c r="N29" s="59"/>
      <c r="O29" s="78"/>
      <c r="P29" s="51" t="e">
        <f t="shared" si="4"/>
        <v>#REF!</v>
      </c>
      <c r="Q29" s="1" t="e">
        <f t="shared" si="14"/>
        <v>#REF!</v>
      </c>
      <c r="R29" s="16" t="e">
        <f t="shared" si="6"/>
        <v>#REF!</v>
      </c>
      <c r="S29" s="64"/>
      <c r="T29" s="62"/>
      <c r="U29" s="28"/>
      <c r="V29" s="62"/>
      <c r="W29" s="62"/>
      <c r="X29" s="28">
        <v>1175</v>
      </c>
      <c r="Y29" s="11">
        <v>574</v>
      </c>
      <c r="Z29" s="89">
        <f>SUM(S29:Y29)</f>
        <v>1749</v>
      </c>
      <c r="AA29" s="12">
        <f t="shared" si="15"/>
        <v>1589.9999999999998</v>
      </c>
      <c r="AB29" s="54">
        <f t="shared" si="16"/>
        <v>159.00000000000023</v>
      </c>
      <c r="AC29" s="51" t="e">
        <f t="shared" si="11"/>
        <v>#REF!</v>
      </c>
      <c r="AD29" s="1" t="e">
        <f t="shared" si="12"/>
        <v>#REF!</v>
      </c>
      <c r="AE29" s="1" t="e">
        <f t="shared" si="13"/>
        <v>#REF!</v>
      </c>
      <c r="AF29" s="16">
        <f t="shared" si="9"/>
        <v>159.00000000000023</v>
      </c>
      <c r="AG29" s="65"/>
      <c r="AH29" s="65"/>
    </row>
    <row r="30" spans="1:34" ht="15.75">
      <c r="A30" s="15">
        <f t="shared" si="10"/>
        <v>11</v>
      </c>
      <c r="B30" s="59" t="s">
        <v>42</v>
      </c>
      <c r="C30" s="60"/>
      <c r="D30" s="61"/>
      <c r="E30" s="47"/>
      <c r="F30" s="62"/>
      <c r="G30" s="114"/>
      <c r="H30" s="48"/>
      <c r="I30" s="48"/>
      <c r="J30" s="48" t="e">
        <f>#REF!</f>
        <v>#REF!</v>
      </c>
      <c r="K30" s="49"/>
      <c r="L30" s="63"/>
      <c r="M30" s="63"/>
      <c r="N30" s="59"/>
      <c r="O30" s="78"/>
      <c r="P30" s="51" t="e">
        <f t="shared" si="4"/>
        <v>#REF!</v>
      </c>
      <c r="Q30" s="1" t="e">
        <f t="shared" si="14"/>
        <v>#REF!</v>
      </c>
      <c r="R30" s="16" t="e">
        <f t="shared" si="6"/>
        <v>#REF!</v>
      </c>
      <c r="S30" s="64"/>
      <c r="T30" s="62"/>
      <c r="U30" s="28"/>
      <c r="V30" s="62"/>
      <c r="W30" s="62"/>
      <c r="X30" s="28">
        <v>940</v>
      </c>
      <c r="Y30" s="11"/>
      <c r="Z30" s="89">
        <f>SUM(S30:Y30)</f>
        <v>940</v>
      </c>
      <c r="AA30" s="12">
        <f t="shared" si="15"/>
        <v>854.5454545454545</v>
      </c>
      <c r="AB30" s="54">
        <f t="shared" si="16"/>
        <v>85.4545454545455</v>
      </c>
      <c r="AC30" s="51" t="e">
        <f t="shared" si="11"/>
        <v>#REF!</v>
      </c>
      <c r="AD30" s="1" t="e">
        <f t="shared" si="12"/>
        <v>#REF!</v>
      </c>
      <c r="AE30" s="1" t="e">
        <f t="shared" si="13"/>
        <v>#REF!</v>
      </c>
      <c r="AF30" s="16">
        <f t="shared" si="9"/>
        <v>85.4545454545455</v>
      </c>
      <c r="AG30" s="65"/>
      <c r="AH30" s="65"/>
    </row>
    <row r="31" spans="1:34" ht="15.75">
      <c r="A31" s="15">
        <f t="shared" si="10"/>
        <v>12</v>
      </c>
      <c r="B31" s="59" t="s">
        <v>65</v>
      </c>
      <c r="C31" s="60"/>
      <c r="D31" s="61"/>
      <c r="E31" s="47"/>
      <c r="F31" s="62"/>
      <c r="G31" s="114"/>
      <c r="H31" s="48" t="e">
        <f>#REF!</f>
        <v>#REF!</v>
      </c>
      <c r="I31" s="48"/>
      <c r="J31" s="48" t="e">
        <f>#REF!</f>
        <v>#REF!</v>
      </c>
      <c r="K31" s="49"/>
      <c r="L31" s="63"/>
      <c r="M31" s="63"/>
      <c r="N31" s="59"/>
      <c r="O31" s="78"/>
      <c r="P31" s="51" t="e">
        <f t="shared" si="4"/>
        <v>#REF!</v>
      </c>
      <c r="Q31" s="1" t="e">
        <f t="shared" si="14"/>
        <v>#REF!</v>
      </c>
      <c r="R31" s="16" t="e">
        <f t="shared" si="6"/>
        <v>#REF!</v>
      </c>
      <c r="S31" s="64"/>
      <c r="T31" s="62"/>
      <c r="U31" s="28"/>
      <c r="V31" s="62"/>
      <c r="W31" s="62"/>
      <c r="X31" s="28"/>
      <c r="Y31" s="11"/>
      <c r="Z31" s="89"/>
      <c r="AA31" s="12"/>
      <c r="AB31" s="54"/>
      <c r="AC31" s="51" t="e">
        <f t="shared" si="11"/>
        <v>#REF!</v>
      </c>
      <c r="AD31" s="1" t="e">
        <f t="shared" si="12"/>
        <v>#REF!</v>
      </c>
      <c r="AE31" s="1" t="e">
        <f t="shared" si="13"/>
        <v>#REF!</v>
      </c>
      <c r="AF31" s="16"/>
      <c r="AG31" s="65"/>
      <c r="AH31" s="65"/>
    </row>
    <row r="32" spans="1:34" ht="15.75">
      <c r="A32" s="15">
        <f t="shared" si="10"/>
        <v>13</v>
      </c>
      <c r="B32" s="59" t="s">
        <v>44</v>
      </c>
      <c r="C32" s="60"/>
      <c r="D32" s="61"/>
      <c r="E32" s="47"/>
      <c r="F32" s="62">
        <v>581.2</v>
      </c>
      <c r="G32" s="114" t="e">
        <f>#REF!</f>
        <v>#REF!</v>
      </c>
      <c r="H32" s="48"/>
      <c r="I32" s="48" t="e">
        <f>#REF!</f>
        <v>#REF!</v>
      </c>
      <c r="J32" s="48" t="e">
        <f>#REF!</f>
        <v>#REF!</v>
      </c>
      <c r="K32" s="49" t="e">
        <f>#REF!</f>
        <v>#REF!</v>
      </c>
      <c r="L32" s="63"/>
      <c r="M32" s="28"/>
      <c r="N32" s="59">
        <v>3607.9</v>
      </c>
      <c r="O32" s="78"/>
      <c r="P32" s="51" t="e">
        <f t="shared" si="4"/>
        <v>#REF!</v>
      </c>
      <c r="Q32" s="1" t="e">
        <f t="shared" si="14"/>
        <v>#REF!</v>
      </c>
      <c r="R32" s="16" t="e">
        <f t="shared" si="6"/>
        <v>#REF!</v>
      </c>
      <c r="S32" s="64"/>
      <c r="T32" s="62"/>
      <c r="U32" s="28">
        <v>918</v>
      </c>
      <c r="V32" s="62"/>
      <c r="W32" s="62"/>
      <c r="X32" s="28"/>
      <c r="Y32" s="11">
        <v>385</v>
      </c>
      <c r="Z32" s="89">
        <f>SUM(S32:Y32)</f>
        <v>1303</v>
      </c>
      <c r="AA32" s="12">
        <f>Z32/1.1</f>
        <v>1184.5454545454545</v>
      </c>
      <c r="AB32" s="54">
        <f>Z32-AA32</f>
        <v>118.4545454545455</v>
      </c>
      <c r="AC32" s="51" t="e">
        <f t="shared" si="11"/>
        <v>#REF!</v>
      </c>
      <c r="AD32" s="1" t="e">
        <f t="shared" si="12"/>
        <v>#REF!</v>
      </c>
      <c r="AE32" s="1" t="e">
        <f t="shared" si="13"/>
        <v>#REF!</v>
      </c>
      <c r="AF32" s="16"/>
      <c r="AG32" s="65"/>
      <c r="AH32" s="65"/>
    </row>
    <row r="33" spans="1:34" ht="16.5" thickBot="1">
      <c r="A33" s="15">
        <f t="shared" si="10"/>
        <v>14</v>
      </c>
      <c r="B33" s="59" t="s">
        <v>30</v>
      </c>
      <c r="C33" s="60"/>
      <c r="D33" s="61">
        <v>43.4</v>
      </c>
      <c r="E33" s="47" t="e">
        <f>#REF!</f>
        <v>#REF!</v>
      </c>
      <c r="F33" s="62">
        <v>4376.2</v>
      </c>
      <c r="G33" s="114" t="e">
        <f>#REF!</f>
        <v>#REF!</v>
      </c>
      <c r="H33" s="48"/>
      <c r="I33" s="48" t="e">
        <f>#REF!</f>
        <v>#REF!</v>
      </c>
      <c r="J33" s="48" t="e">
        <f>#REF!</f>
        <v>#REF!</v>
      </c>
      <c r="K33" s="49"/>
      <c r="L33" s="63">
        <v>2581.9</v>
      </c>
      <c r="M33" s="77"/>
      <c r="N33" s="80"/>
      <c r="O33" s="32"/>
      <c r="P33" s="51" t="e">
        <f t="shared" si="4"/>
        <v>#REF!</v>
      </c>
      <c r="Q33" s="1" t="e">
        <f t="shared" si="14"/>
        <v>#REF!</v>
      </c>
      <c r="R33" s="16" t="e">
        <f t="shared" si="6"/>
        <v>#REF!</v>
      </c>
      <c r="S33" s="64"/>
      <c r="T33" s="62"/>
      <c r="U33" s="28"/>
      <c r="V33" s="62"/>
      <c r="W33" s="62"/>
      <c r="X33" s="28"/>
      <c r="Y33" s="61">
        <v>1400</v>
      </c>
      <c r="Z33" s="89">
        <f>SUM(S33:Y33)</f>
        <v>1400</v>
      </c>
      <c r="AA33" s="12">
        <f>Z33/1.1</f>
        <v>1272.7272727272725</v>
      </c>
      <c r="AB33" s="54">
        <f>Z33-AA33</f>
        <v>127.27272727272748</v>
      </c>
      <c r="AC33" s="85" t="e">
        <f t="shared" si="11"/>
        <v>#REF!</v>
      </c>
      <c r="AD33" s="86" t="e">
        <f t="shared" si="12"/>
        <v>#REF!</v>
      </c>
      <c r="AE33" s="86" t="e">
        <f t="shared" si="13"/>
        <v>#REF!</v>
      </c>
      <c r="AF33" s="87"/>
      <c r="AG33" s="65"/>
      <c r="AH33" s="65"/>
    </row>
    <row r="34" spans="1:34" ht="39.75" thickBot="1">
      <c r="A34" s="66"/>
      <c r="B34" s="67" t="s">
        <v>43</v>
      </c>
      <c r="C34" s="68">
        <f aca="true" t="shared" si="17" ref="C34:K34">SUM(C4:C33)</f>
        <v>168406.7</v>
      </c>
      <c r="D34" s="69">
        <f t="shared" si="17"/>
        <v>22224.200000000004</v>
      </c>
      <c r="E34" s="70" t="e">
        <f t="shared" si="17"/>
        <v>#REF!</v>
      </c>
      <c r="F34" s="70">
        <f t="shared" si="17"/>
        <v>309968.80000000005</v>
      </c>
      <c r="G34" s="115" t="e">
        <f>SUM(G4:G33)</f>
        <v>#REF!</v>
      </c>
      <c r="H34" s="70" t="e">
        <f t="shared" si="17"/>
        <v>#REF!</v>
      </c>
      <c r="I34" s="70" t="e">
        <f t="shared" si="17"/>
        <v>#REF!</v>
      </c>
      <c r="J34" s="70" t="e">
        <f t="shared" si="17"/>
        <v>#REF!</v>
      </c>
      <c r="K34" s="2" t="e">
        <f t="shared" si="17"/>
        <v>#REF!</v>
      </c>
      <c r="L34" s="4">
        <f>SUM(L3:L33)</f>
        <v>59281.9</v>
      </c>
      <c r="M34" s="4">
        <f>SUM(M3:M33)</f>
        <v>0</v>
      </c>
      <c r="N34" s="2">
        <f>SUM(N4:N33)</f>
        <v>8143.200000000001</v>
      </c>
      <c r="O34" s="30">
        <f>SUM(O3:O33)</f>
        <v>41720</v>
      </c>
      <c r="P34" s="17" t="e">
        <f>SUM(P4:P33)</f>
        <v>#REF!</v>
      </c>
      <c r="Q34" s="18" t="e">
        <f>SUM(Q4:Q33)</f>
        <v>#REF!</v>
      </c>
      <c r="R34" s="19" t="e">
        <f>SUM(R4:R33)</f>
        <v>#REF!</v>
      </c>
      <c r="S34" s="2">
        <f>SUM(S4:S33)</f>
        <v>3310</v>
      </c>
      <c r="T34" s="2">
        <f>SUM(T2:T33)</f>
        <v>14202</v>
      </c>
      <c r="U34" s="4">
        <f>SUM(U4:U33)</f>
        <v>5576.7</v>
      </c>
      <c r="V34" s="2">
        <f>SUM(V4:V33)</f>
        <v>120478.59999999999</v>
      </c>
      <c r="W34" s="2">
        <f>SUM(W4:W33)</f>
        <v>58433.2</v>
      </c>
      <c r="X34" s="3">
        <f>SUM(X4:X33)</f>
        <v>9188.5</v>
      </c>
      <c r="Y34" s="70">
        <f>SUM(Y3:Y33)</f>
        <v>25700.3</v>
      </c>
      <c r="Z34" s="93">
        <f aca="true" t="shared" si="18" ref="Z34:AF34">SUM(Z4:Z33)</f>
        <v>236889.30000000002</v>
      </c>
      <c r="AA34" s="21">
        <f t="shared" si="18"/>
        <v>170816.70779220777</v>
      </c>
      <c r="AB34" s="21">
        <f t="shared" si="18"/>
        <v>66072.59220779219</v>
      </c>
      <c r="AC34" s="94" t="e">
        <f t="shared" si="18"/>
        <v>#REF!</v>
      </c>
      <c r="AD34" s="68" t="e">
        <f t="shared" si="18"/>
        <v>#REF!</v>
      </c>
      <c r="AE34" s="68" t="e">
        <f t="shared" si="18"/>
        <v>#REF!</v>
      </c>
      <c r="AF34" s="2">
        <f t="shared" si="18"/>
        <v>65826.86493506492</v>
      </c>
      <c r="AG34" s="71"/>
      <c r="AH34" s="72">
        <v>287946.5</v>
      </c>
    </row>
    <row r="36" ht="15.75">
      <c r="H36" s="73"/>
    </row>
  </sheetData>
  <sheetProtection/>
  <mergeCells count="24">
    <mergeCell ref="S1:S2"/>
    <mergeCell ref="L1:O1"/>
    <mergeCell ref="G1:K1"/>
    <mergeCell ref="E1:E2"/>
    <mergeCell ref="F1:F2"/>
    <mergeCell ref="A1:A2"/>
    <mergeCell ref="P1:P2"/>
    <mergeCell ref="Q1:Q2"/>
    <mergeCell ref="R1:R2"/>
    <mergeCell ref="B1:B2"/>
    <mergeCell ref="T1:T2"/>
    <mergeCell ref="U1:U2"/>
    <mergeCell ref="Z1:Z2"/>
    <mergeCell ref="AF1:AF2"/>
    <mergeCell ref="V1:V2"/>
    <mergeCell ref="W1:W2"/>
    <mergeCell ref="X1:X2"/>
    <mergeCell ref="Y1:Y2"/>
    <mergeCell ref="AH1:AH2"/>
    <mergeCell ref="AA1:AA2"/>
    <mergeCell ref="AB1:AB2"/>
    <mergeCell ref="AC1:AC2"/>
    <mergeCell ref="AD1:AD2"/>
    <mergeCell ref="AE1:AE2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Bunina</dc:creator>
  <cp:keywords/>
  <dc:description/>
  <cp:lastModifiedBy>moroz</cp:lastModifiedBy>
  <cp:lastPrinted>2013-01-31T12:28:25Z</cp:lastPrinted>
  <dcterms:created xsi:type="dcterms:W3CDTF">2011-11-16T09:30:42Z</dcterms:created>
  <dcterms:modified xsi:type="dcterms:W3CDTF">2013-01-31T14:19:58Z</dcterms:modified>
  <cp:category/>
  <cp:version/>
  <cp:contentType/>
  <cp:contentStatus/>
</cp:coreProperties>
</file>