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91" windowWidth="15015" windowHeight="11640" tabRatio="359" activeTab="5"/>
  </bookViews>
  <sheets>
    <sheet name="Лист1" sheetId="1" r:id="rId1"/>
    <sheet name="Лист2" sheetId="2" r:id="rId2"/>
    <sheet name="Лист3" sheetId="3" r:id="rId3"/>
    <sheet name="капвклад" sheetId="4" state="hidden" r:id="rId4"/>
    <sheet name="Лист4" sheetId="5" r:id="rId5"/>
    <sheet name="додаток 31" sheetId="6" r:id="rId6"/>
  </sheets>
  <definedNames>
    <definedName name="_xlnm.Print_Titles" localSheetId="5">'додаток 31'!$7:$10</definedName>
    <definedName name="_xlnm.Print_Area" localSheetId="5">'додаток 31'!$C$1:$J$162</definedName>
    <definedName name="_xlnm.Print_Area" localSheetId="0">'Лист1'!$A$1:$U$62</definedName>
    <definedName name="_xlnm.Print_Area" localSheetId="1">'Лист2'!$A$1:$K$61</definedName>
    <definedName name="_xlnm.Print_Area" localSheetId="2">'Лист3'!$A$1:$P$50</definedName>
    <definedName name="_xlnm.Print_Area" localSheetId="4">'Лист4'!$A$1:$V$17</definedName>
  </definedNames>
  <calcPr fullCalcOnLoad="1"/>
</workbook>
</file>

<file path=xl/sharedStrings.xml><?xml version="1.0" encoding="utf-8"?>
<sst xmlns="http://schemas.openxmlformats.org/spreadsheetml/2006/main" count="489" uniqueCount="155">
  <si>
    <t>№ з/п</t>
  </si>
  <si>
    <t>Луганськ</t>
  </si>
  <si>
    <t>Антрацит</t>
  </si>
  <si>
    <t>Алчевськ</t>
  </si>
  <si>
    <t>Рубіжнє</t>
  </si>
  <si>
    <t>Ровеньки</t>
  </si>
  <si>
    <t>Брянка</t>
  </si>
  <si>
    <t>Краснодон</t>
  </si>
  <si>
    <t>Кіровськ</t>
  </si>
  <si>
    <t>Красний Луч</t>
  </si>
  <si>
    <t>Сєвєродонецьк</t>
  </si>
  <si>
    <t>Облтепло (м.Луганськ)</t>
  </si>
  <si>
    <t>Міста</t>
  </si>
  <si>
    <t>Райони</t>
  </si>
  <si>
    <t>Антрацитівський</t>
  </si>
  <si>
    <t>Кременський</t>
  </si>
  <si>
    <t>Білокуракінський</t>
  </si>
  <si>
    <t>Реконструкція тепломереж</t>
  </si>
  <si>
    <t>Встановлення теплоутилізаційного обладнання</t>
  </si>
  <si>
    <t>Заміна насосного обладнання</t>
  </si>
  <si>
    <t>Частотне регулювання електрообладнання</t>
  </si>
  <si>
    <t>Встановлення на котельнях приладів обліку теплової енергії</t>
  </si>
  <si>
    <t>Децентралізація</t>
  </si>
  <si>
    <t>Встановлення установок сонячного гарячого водопостачання</t>
  </si>
  <si>
    <t>Заміна і модернізація газових котлів</t>
  </si>
  <si>
    <t>Термомодернізація будівель</t>
  </si>
  <si>
    <t>комун</t>
  </si>
  <si>
    <t>Свердловськ</t>
  </si>
  <si>
    <t>Краснодонський</t>
  </si>
  <si>
    <t>Новоайдарський</t>
  </si>
  <si>
    <t>Ст-Луганський</t>
  </si>
  <si>
    <t>Лутугінський</t>
  </si>
  <si>
    <t>Попаснянський</t>
  </si>
  <si>
    <t>неком</t>
  </si>
  <si>
    <t>Біловодський</t>
  </si>
  <si>
    <t>Стаханів</t>
  </si>
  <si>
    <t>Перехід на поза-пікове  електро-опалення</t>
  </si>
  <si>
    <t>Встановлення когенераційних уста-новок</t>
  </si>
  <si>
    <t>Встановлення тепло-насосних уста-новок</t>
  </si>
  <si>
    <t>водовуг смесь</t>
  </si>
  <si>
    <t>дерев пелети</t>
  </si>
  <si>
    <t>Перевальский</t>
  </si>
  <si>
    <t>Сватівський</t>
  </si>
  <si>
    <t>Всього капітальні витрати</t>
  </si>
  <si>
    <t>Економія електроенергії, тис. грн</t>
  </si>
  <si>
    <t>Старобільский</t>
  </si>
  <si>
    <t>Заміна і модернізація котлів</t>
  </si>
  <si>
    <t>газогенератори</t>
  </si>
  <si>
    <t>твер паливо</t>
  </si>
  <si>
    <t>Капітальні витрати, всього, тис.грн</t>
  </si>
  <si>
    <t>Державний бюджет</t>
  </si>
  <si>
    <t>Місцевий бюджет</t>
  </si>
  <si>
    <t>Інші джерела</t>
  </si>
  <si>
    <t>Держбюджет разом, тис.грн</t>
  </si>
  <si>
    <t>Капітальні витрати разом, тис. грн</t>
  </si>
  <si>
    <t>місцевий бюджет, тис.грн</t>
  </si>
  <si>
    <t>інші, тис. грн</t>
  </si>
  <si>
    <t>Будівництво модульних котелень на твердому паливі</t>
  </si>
  <si>
    <t>Лисичанськ</t>
  </si>
  <si>
    <t>Міловський</t>
  </si>
  <si>
    <t>Будів-ництво блочно-модульних котелень на газі</t>
  </si>
  <si>
    <t>Індиві-дуальне опалення квартир</t>
  </si>
  <si>
    <t>РАЗОМ</t>
  </si>
  <si>
    <t>Капітальні вкладення, років</t>
  </si>
  <si>
    <t xml:space="preserve">Переведення існуючих котелень на альтернативні види палива </t>
  </si>
  <si>
    <t>Реконструкція газових мереж</t>
  </si>
  <si>
    <t>Первомайськ</t>
  </si>
  <si>
    <t xml:space="preserve">Найменування </t>
  </si>
  <si>
    <t>Назва міст і районів області</t>
  </si>
  <si>
    <t>Загальна економія без викидів, тис.грн</t>
  </si>
  <si>
    <t>Індивідуальне опалення квартир (в т.ч. бюджетне кредитування)</t>
  </si>
  <si>
    <t xml:space="preserve">Економія газу заміщенням, млн. куб.м </t>
  </si>
  <si>
    <t>Економічний ефект, тис. грн</t>
  </si>
  <si>
    <t xml:space="preserve">                                                                                                            </t>
  </si>
  <si>
    <t>Зменшення шкідливих викидів, тис.грн</t>
  </si>
  <si>
    <t>Зменшення шкідливих викидів, тис.тонн</t>
  </si>
  <si>
    <t>Загальна економія з викидами, тис.грн</t>
  </si>
  <si>
    <t>Строк окупності без викидів, років</t>
  </si>
  <si>
    <t>Строк окупності з викидами, років</t>
  </si>
  <si>
    <t>Слав'яносербський</t>
  </si>
  <si>
    <t>Перехід на позапікове  електроопалення</t>
  </si>
  <si>
    <t>Будівництво блочно-модульних котелень на газу</t>
  </si>
  <si>
    <t>Заміна і модернізація котлів на газу</t>
  </si>
  <si>
    <t>Заміна і модернізація котлів на вугіллі</t>
  </si>
  <si>
    <t>Облбюджет</t>
  </si>
  <si>
    <t>Економія вугілля підвищенням енергоефективності, тонн</t>
  </si>
  <si>
    <t>Економія електро-енергії, тис. кВт*год</t>
  </si>
  <si>
    <t>Будів-ництво блочно-модульних котелень на газу</t>
  </si>
  <si>
    <t>переведення котлів на пелети</t>
  </si>
  <si>
    <t>Управління  культури і туризму</t>
  </si>
  <si>
    <t>Управління освіти і науки</t>
  </si>
  <si>
    <t>Головного управління праці та соціального захисту населення</t>
  </si>
  <si>
    <t>Головного управління охорони здоров’я</t>
  </si>
  <si>
    <t>Управління  містобудування  та архітектури  облдержадміністрації</t>
  </si>
  <si>
    <t>Всього</t>
  </si>
  <si>
    <t>бюджетне кредитування</t>
  </si>
  <si>
    <t>Обласний бюджет разом, тис.грн</t>
  </si>
  <si>
    <t>Обласний</t>
  </si>
  <si>
    <t>місцевий</t>
  </si>
  <si>
    <t xml:space="preserve"> у тому числі</t>
  </si>
  <si>
    <t>Переведення існуючих котелень на дерев пелети</t>
  </si>
  <si>
    <t>Впровадження альтернативних джерел енергії та альтернативних видів палива</t>
  </si>
  <si>
    <t>Переведення існуючих котелень на вугілля</t>
  </si>
  <si>
    <t>Встановлення в житлових будинках лічильників теплової енергії та регулятори температури</t>
  </si>
  <si>
    <t>Інші, тис.грн</t>
  </si>
  <si>
    <t>Всього капітальні витрати по містам</t>
  </si>
  <si>
    <t>Всього капітальні витрати по області</t>
  </si>
  <si>
    <t>Найменування заходу</t>
  </si>
  <si>
    <t>1.1 Заміна і модернізація  котлів, які працюють на газу</t>
  </si>
  <si>
    <t xml:space="preserve">інші джерела </t>
  </si>
  <si>
    <t>державного бюджету</t>
  </si>
  <si>
    <t>обласного бюджету</t>
  </si>
  <si>
    <t xml:space="preserve">1.2 Частотне регулювання електроспоживаючого обладнання і перетворювачі частоти </t>
  </si>
  <si>
    <t>1.3 Заміна насосного обладнання</t>
  </si>
  <si>
    <t>1.4 Встановлення теплоутилізаційного обладнання</t>
  </si>
  <si>
    <t>1.7 Встановлення газогенераторів</t>
  </si>
  <si>
    <t>1.8 Заміна і модернізація котлів на вугіллі</t>
  </si>
  <si>
    <t>Розвиток, модернізація та реконструкція систем  теплопостачання</t>
  </si>
  <si>
    <t>Оптимізація систем теплопостачання шляхом децентралізації</t>
  </si>
  <si>
    <t>Обсяги фінансових ресурсів</t>
  </si>
  <si>
    <r>
      <t xml:space="preserve">Всього,                                                  </t>
    </r>
    <r>
      <rPr>
        <sz val="14"/>
        <rFont val="Arial"/>
        <family val="2"/>
      </rPr>
      <t>у тому числі кошти:</t>
    </r>
  </si>
  <si>
    <t>тверде паливо</t>
  </si>
  <si>
    <t>43710*</t>
  </si>
  <si>
    <t xml:space="preserve">Економія газу підви-щенням енергоефективності, млн. куб.м </t>
  </si>
  <si>
    <t>2755,4*</t>
  </si>
  <si>
    <t xml:space="preserve">Встановлення в житлових будинках лічильників теплової енергії та регулятори температури </t>
  </si>
  <si>
    <t>Будів-ництво модульних котелень на твердому паливі</t>
  </si>
  <si>
    <t>без урахув. встановл. приладів обліку, реконстр. Газ.мереж і індив. опалення</t>
  </si>
  <si>
    <t>Модернізація та реконструкція систем  теплопостачання</t>
  </si>
  <si>
    <t xml:space="preserve"> бюджети міст, районів</t>
  </si>
  <si>
    <t>бюджети міст, районів</t>
  </si>
  <si>
    <t xml:space="preserve">1.5 Заміна трубопроводів теплових мереж  на попередньо ізольовані  </t>
  </si>
  <si>
    <t xml:space="preserve">1.9 Використання технологій когенерації і впровадження когенераційних установок </t>
  </si>
  <si>
    <t>1.6 Переобладнання котелень, які працюють на газу, з метою переведення їх на місцеві види твердого палива</t>
  </si>
  <si>
    <t>2.3 Впровадження тепло-насосних установок</t>
  </si>
  <si>
    <t>2.4  Використання сонячної енергії на об’єктах теплопостачання</t>
  </si>
  <si>
    <t>2.1 Встановлення блочно-модульних котелень на твердому паливі (пелетах)</t>
  </si>
  <si>
    <t>2.2 Переведення існуючих котелень на альтернативні види палива (пелети)</t>
  </si>
  <si>
    <t xml:space="preserve">3.3 Облаштування квартир системами індивідуального опалення </t>
  </si>
  <si>
    <t>1.10 Оснащення котелень підприємств комунальної теплоенергетики засобами обліку відпуску теплової енергії</t>
  </si>
  <si>
    <t xml:space="preserve">3.1 Встановлення блочно-модульних котелень на газу </t>
  </si>
  <si>
    <t>Ресурсне забезпечення  Регіональної  програми модернізації систем теплопостачання  Луганської області на 2012-2016 роки</t>
  </si>
  <si>
    <t xml:space="preserve">1.11 Оснащення житлових будинків засобами обліку та регулювання теплової енергії </t>
  </si>
  <si>
    <t>Всього за напрямом</t>
  </si>
  <si>
    <t>3.2 Будівництво, реконструкція газових мереж</t>
  </si>
  <si>
    <t xml:space="preserve">3.4 Впровадження проектів із заміщення природного газу нічним електропідігрівом </t>
  </si>
  <si>
    <t>Разом за Програмою</t>
  </si>
  <si>
    <t>у тому числі за роками</t>
  </si>
  <si>
    <t>Проведення енергетичного аудиту на об'єктах соціальної сфери</t>
  </si>
  <si>
    <t>Управління у справах сім’ї, молоді та спорту облдержадміністрації</t>
  </si>
  <si>
    <t>1.12 проведення енергетичного аудиту об'єктів соціальної сфери</t>
  </si>
  <si>
    <t>пільгової категорії гомадян, тис. Грн</t>
  </si>
  <si>
    <t xml:space="preserve"> не пільгової категорії гомадян, тис грн</t>
  </si>
  <si>
    <t>до Регіональної програми</t>
  </si>
  <si>
    <t>Додаток 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</si>
</sst>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0.0"/>
    <numFmt numFmtId="166" formatCode="_-* #,##0.0\ _г_р_н_._-;\-* #,##0.0\ _г_р_н_._-;_-* &quot;-&quot;??\ _г_р_н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\ _г_р_н_._-;\-* #,##0\ _г_р_н_._-;_-* &quot;-&quot;??\ _г_р_н_._-;_-@_-"/>
    <numFmt numFmtId="172" formatCode="0.000"/>
    <numFmt numFmtId="173" formatCode="0.0000"/>
  </numFmts>
  <fonts count="49"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614">
    <xf numFmtId="0" fontId="0" fillId="0" borderId="0" xfId="0" applyAlignment="1">
      <alignment/>
    </xf>
    <xf numFmtId="165" fontId="1" fillId="0" borderId="10" xfId="0" applyNumberFormat="1" applyFont="1" applyBorder="1" applyAlignment="1">
      <alignment wrapText="1"/>
    </xf>
    <xf numFmtId="165" fontId="1" fillId="0" borderId="11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165" fontId="1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wrapText="1"/>
    </xf>
    <xf numFmtId="165" fontId="1" fillId="0" borderId="2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27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5" fontId="1" fillId="0" borderId="14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1" xfId="0" applyFont="1" applyBorder="1" applyAlignment="1">
      <alignment wrapText="1"/>
    </xf>
    <xf numFmtId="165" fontId="1" fillId="0" borderId="16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7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 wrapText="1"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3" fillId="0" borderId="39" xfId="0" applyFont="1" applyBorder="1" applyAlignment="1">
      <alignment wrapText="1"/>
    </xf>
    <xf numFmtId="165" fontId="1" fillId="0" borderId="38" xfId="0" applyNumberFormat="1" applyFont="1" applyBorder="1" applyAlignment="1">
      <alignment/>
    </xf>
    <xf numFmtId="165" fontId="1" fillId="0" borderId="40" xfId="0" applyNumberFormat="1" applyFont="1" applyBorder="1" applyAlignment="1">
      <alignment/>
    </xf>
    <xf numFmtId="165" fontId="1" fillId="0" borderId="41" xfId="0" applyNumberFormat="1" applyFont="1" applyBorder="1" applyAlignment="1">
      <alignment/>
    </xf>
    <xf numFmtId="165" fontId="1" fillId="0" borderId="42" xfId="0" applyNumberFormat="1" applyFont="1" applyBorder="1" applyAlignment="1">
      <alignment/>
    </xf>
    <xf numFmtId="0" fontId="1" fillId="0" borderId="25" xfId="0" applyFont="1" applyBorder="1" applyAlignment="1">
      <alignment/>
    </xf>
    <xf numFmtId="165" fontId="1" fillId="0" borderId="0" xfId="0" applyNumberFormat="1" applyFont="1" applyAlignment="1">
      <alignment/>
    </xf>
    <xf numFmtId="0" fontId="8" fillId="0" borderId="31" xfId="0" applyFont="1" applyBorder="1" applyAlignment="1">
      <alignment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1" fillId="0" borderId="33" xfId="0" applyNumberFormat="1" applyFont="1" applyBorder="1" applyAlignment="1">
      <alignment wrapText="1"/>
    </xf>
    <xf numFmtId="165" fontId="1" fillId="0" borderId="34" xfId="0" applyNumberFormat="1" applyFont="1" applyBorder="1" applyAlignment="1">
      <alignment wrapText="1"/>
    </xf>
    <xf numFmtId="165" fontId="1" fillId="0" borderId="44" xfId="0" applyNumberFormat="1" applyFont="1" applyBorder="1" applyAlignment="1">
      <alignment wrapText="1"/>
    </xf>
    <xf numFmtId="0" fontId="2" fillId="0" borderId="0" xfId="0" applyFont="1" applyAlignment="1">
      <alignment/>
    </xf>
    <xf numFmtId="165" fontId="1" fillId="0" borderId="50" xfId="0" applyNumberFormat="1" applyFont="1" applyBorder="1" applyAlignment="1">
      <alignment wrapText="1"/>
    </xf>
    <xf numFmtId="0" fontId="5" fillId="0" borderId="27" xfId="0" applyFont="1" applyBorder="1" applyAlignment="1">
      <alignment horizontal="center" vertical="center" wrapText="1"/>
    </xf>
    <xf numFmtId="0" fontId="1" fillId="0" borderId="51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5" fillId="0" borderId="4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165" fontId="1" fillId="0" borderId="16" xfId="0" applyNumberFormat="1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5" fontId="1" fillId="0" borderId="17" xfId="0" applyNumberFormat="1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165" fontId="1" fillId="0" borderId="5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1" fillId="0" borderId="17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wrapText="1"/>
    </xf>
    <xf numFmtId="0" fontId="9" fillId="0" borderId="4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5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0" fontId="3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" fillId="0" borderId="33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2" fontId="1" fillId="0" borderId="34" xfId="0" applyNumberFormat="1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0" xfId="0" applyNumberFormat="1" applyFont="1" applyFill="1" applyBorder="1" applyAlignment="1">
      <alignment/>
    </xf>
    <xf numFmtId="165" fontId="3" fillId="0" borderId="40" xfId="0" applyNumberFormat="1" applyFont="1" applyFill="1" applyBorder="1" applyAlignment="1">
      <alignment wrapText="1"/>
    </xf>
    <xf numFmtId="2" fontId="1" fillId="0" borderId="34" xfId="0" applyNumberFormat="1" applyFont="1" applyFill="1" applyBorder="1" applyAlignment="1">
      <alignment horizontal="center" wrapText="1"/>
    </xf>
    <xf numFmtId="2" fontId="1" fillId="0" borderId="41" xfId="0" applyNumberFormat="1" applyFont="1" applyFill="1" applyBorder="1" applyAlignment="1">
      <alignment/>
    </xf>
    <xf numFmtId="0" fontId="1" fillId="24" borderId="16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2" fontId="1" fillId="24" borderId="10" xfId="0" applyNumberFormat="1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2" fontId="1" fillId="0" borderId="27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wrapText="1"/>
    </xf>
    <xf numFmtId="0" fontId="16" fillId="0" borderId="29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34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165" fontId="3" fillId="0" borderId="52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wrapText="1"/>
    </xf>
    <xf numFmtId="0" fontId="8" fillId="0" borderId="16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2" fontId="1" fillId="0" borderId="52" xfId="0" applyNumberFormat="1" applyFont="1" applyFill="1" applyBorder="1" applyAlignment="1">
      <alignment wrapText="1"/>
    </xf>
    <xf numFmtId="2" fontId="1" fillId="0" borderId="29" xfId="0" applyNumberFormat="1" applyFont="1" applyFill="1" applyBorder="1" applyAlignment="1">
      <alignment wrapText="1"/>
    </xf>
    <xf numFmtId="0" fontId="3" fillId="0" borderId="57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165" fontId="3" fillId="0" borderId="58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58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wrapText="1" shrinkToFit="1"/>
    </xf>
    <xf numFmtId="2" fontId="3" fillId="0" borderId="10" xfId="0" applyNumberFormat="1" applyFont="1" applyFill="1" applyBorder="1" applyAlignment="1">
      <alignment wrapText="1"/>
    </xf>
    <xf numFmtId="0" fontId="3" fillId="0" borderId="52" xfId="0" applyFont="1" applyFill="1" applyBorder="1" applyAlignment="1">
      <alignment wrapText="1" shrinkToFit="1"/>
    </xf>
    <xf numFmtId="165" fontId="3" fillId="0" borderId="57" xfId="0" applyNumberFormat="1" applyFont="1" applyFill="1" applyBorder="1" applyAlignment="1">
      <alignment wrapText="1"/>
    </xf>
    <xf numFmtId="165" fontId="3" fillId="0" borderId="16" xfId="0" applyNumberFormat="1" applyFont="1" applyFill="1" applyBorder="1" applyAlignment="1">
      <alignment wrapText="1"/>
    </xf>
    <xf numFmtId="165" fontId="3" fillId="0" borderId="18" xfId="0" applyNumberFormat="1" applyFont="1" applyFill="1" applyBorder="1" applyAlignment="1">
      <alignment wrapText="1"/>
    </xf>
    <xf numFmtId="165" fontId="3" fillId="0" borderId="54" xfId="0" applyNumberFormat="1" applyFont="1" applyFill="1" applyBorder="1" applyAlignment="1">
      <alignment wrapText="1"/>
    </xf>
    <xf numFmtId="165" fontId="3" fillId="0" borderId="59" xfId="0" applyNumberFormat="1" applyFont="1" applyFill="1" applyBorder="1" applyAlignment="1">
      <alignment wrapText="1"/>
    </xf>
    <xf numFmtId="165" fontId="3" fillId="0" borderId="53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wrapText="1" shrinkToFit="1"/>
    </xf>
    <xf numFmtId="0" fontId="3" fillId="0" borderId="18" xfId="0" applyFont="1" applyFill="1" applyBorder="1" applyAlignment="1">
      <alignment wrapText="1" shrinkToFit="1"/>
    </xf>
    <xf numFmtId="165" fontId="3" fillId="0" borderId="60" xfId="0" applyNumberFormat="1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165" fontId="3" fillId="0" borderId="62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2" fontId="3" fillId="0" borderId="52" xfId="0" applyNumberFormat="1" applyFont="1" applyFill="1" applyBorder="1" applyAlignment="1">
      <alignment wrapText="1"/>
    </xf>
    <xf numFmtId="0" fontId="3" fillId="0" borderId="28" xfId="0" applyFont="1" applyFill="1" applyBorder="1" applyAlignment="1">
      <alignment wrapText="1" shrinkToFit="1"/>
    </xf>
    <xf numFmtId="165" fontId="3" fillId="0" borderId="29" xfId="0" applyNumberFormat="1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165" fontId="3" fillId="0" borderId="41" xfId="0" applyNumberFormat="1" applyFont="1" applyFill="1" applyBorder="1" applyAlignment="1">
      <alignment wrapText="1"/>
    </xf>
    <xf numFmtId="2" fontId="1" fillId="0" borderId="46" xfId="0" applyNumberFormat="1" applyFont="1" applyFill="1" applyBorder="1" applyAlignment="1">
      <alignment wrapText="1"/>
    </xf>
    <xf numFmtId="0" fontId="1" fillId="0" borderId="29" xfId="0" applyFont="1" applyFill="1" applyBorder="1" applyAlignment="1">
      <alignment wrapText="1" shrinkToFit="1"/>
    </xf>
    <xf numFmtId="0" fontId="3" fillId="0" borderId="1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49" xfId="0" applyFont="1" applyFill="1" applyBorder="1" applyAlignment="1">
      <alignment wrapText="1"/>
    </xf>
    <xf numFmtId="0" fontId="3" fillId="0" borderId="31" xfId="0" applyFont="1" applyFill="1" applyBorder="1" applyAlignment="1">
      <alignment wrapText="1" shrinkToFit="1"/>
    </xf>
    <xf numFmtId="0" fontId="3" fillId="0" borderId="63" xfId="0" applyFont="1" applyFill="1" applyBorder="1" applyAlignment="1">
      <alignment wrapText="1" shrinkToFit="1"/>
    </xf>
    <xf numFmtId="165" fontId="3" fillId="0" borderId="14" xfId="0" applyNumberFormat="1" applyFont="1" applyFill="1" applyBorder="1" applyAlignment="1">
      <alignment wrapText="1"/>
    </xf>
    <xf numFmtId="165" fontId="3" fillId="0" borderId="64" xfId="0" applyNumberFormat="1" applyFont="1" applyFill="1" applyBorder="1" applyAlignment="1">
      <alignment wrapText="1"/>
    </xf>
    <xf numFmtId="0" fontId="4" fillId="0" borderId="48" xfId="0" applyFont="1" applyFill="1" applyBorder="1" applyAlignment="1">
      <alignment/>
    </xf>
    <xf numFmtId="2" fontId="8" fillId="0" borderId="17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2" fontId="1" fillId="0" borderId="48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165" fontId="3" fillId="0" borderId="11" xfId="0" applyNumberFormat="1" applyFont="1" applyFill="1" applyBorder="1" applyAlignment="1">
      <alignment wrapText="1"/>
    </xf>
    <xf numFmtId="0" fontId="20" fillId="0" borderId="65" xfId="0" applyFont="1" applyFill="1" applyBorder="1" applyAlignment="1">
      <alignment horizontal="center" vertical="top" wrapText="1"/>
    </xf>
    <xf numFmtId="0" fontId="17" fillId="25" borderId="10" xfId="0" applyFont="1" applyFill="1" applyBorder="1" applyAlignment="1">
      <alignment/>
    </xf>
    <xf numFmtId="0" fontId="45" fillId="25" borderId="10" xfId="0" applyFont="1" applyFill="1" applyBorder="1" applyAlignment="1">
      <alignment/>
    </xf>
    <xf numFmtId="0" fontId="17" fillId="25" borderId="10" xfId="0" applyFont="1" applyFill="1" applyBorder="1" applyAlignment="1">
      <alignment horizontal="right"/>
    </xf>
    <xf numFmtId="165" fontId="17" fillId="25" borderId="10" xfId="0" applyNumberFormat="1" applyFont="1" applyFill="1" applyBorder="1" applyAlignment="1">
      <alignment horizontal="right"/>
    </xf>
    <xf numFmtId="165" fontId="17" fillId="25" borderId="10" xfId="0" applyNumberFormat="1" applyFont="1" applyFill="1" applyBorder="1" applyAlignment="1">
      <alignment/>
    </xf>
    <xf numFmtId="2" fontId="17" fillId="25" borderId="10" xfId="0" applyNumberFormat="1" applyFont="1" applyFill="1" applyBorder="1" applyAlignment="1">
      <alignment/>
    </xf>
    <xf numFmtId="0" fontId="45" fillId="25" borderId="0" xfId="0" applyFont="1" applyFill="1" applyAlignment="1">
      <alignment/>
    </xf>
    <xf numFmtId="0" fontId="11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165" fontId="11" fillId="25" borderId="10" xfId="0" applyNumberFormat="1" applyFont="1" applyFill="1" applyBorder="1" applyAlignment="1">
      <alignment/>
    </xf>
    <xf numFmtId="2" fontId="11" fillId="25" borderId="10" xfId="0" applyNumberFormat="1" applyFont="1" applyFill="1" applyBorder="1" applyAlignment="1">
      <alignment/>
    </xf>
    <xf numFmtId="166" fontId="11" fillId="25" borderId="10" xfId="61" applyNumberFormat="1" applyFont="1" applyFill="1" applyBorder="1" applyAlignment="1">
      <alignment/>
    </xf>
    <xf numFmtId="0" fontId="10" fillId="25" borderId="0" xfId="0" applyFont="1" applyFill="1" applyAlignment="1">
      <alignment/>
    </xf>
    <xf numFmtId="2" fontId="44" fillId="25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25" borderId="10" xfId="0" applyFont="1" applyFill="1" applyBorder="1" applyAlignment="1">
      <alignment/>
    </xf>
    <xf numFmtId="0" fontId="10" fillId="25" borderId="0" xfId="0" applyFont="1" applyFill="1" applyAlignment="1">
      <alignment/>
    </xf>
    <xf numFmtId="0" fontId="4" fillId="25" borderId="34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2" fontId="11" fillId="25" borderId="10" xfId="0" applyNumberFormat="1" applyFont="1" applyFill="1" applyBorder="1" applyAlignment="1">
      <alignment/>
    </xf>
    <xf numFmtId="0" fontId="11" fillId="25" borderId="10" xfId="0" applyFont="1" applyFill="1" applyBorder="1" applyAlignment="1">
      <alignment/>
    </xf>
    <xf numFmtId="165" fontId="11" fillId="25" borderId="1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/>
    </xf>
    <xf numFmtId="0" fontId="44" fillId="25" borderId="10" xfId="0" applyFont="1" applyFill="1" applyBorder="1" applyAlignment="1">
      <alignment/>
    </xf>
    <xf numFmtId="2" fontId="4" fillId="25" borderId="10" xfId="0" applyNumberFormat="1" applyFont="1" applyFill="1" applyBorder="1" applyAlignment="1">
      <alignment/>
    </xf>
    <xf numFmtId="165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right"/>
    </xf>
    <xf numFmtId="0" fontId="12" fillId="25" borderId="10" xfId="0" applyFont="1" applyFill="1" applyBorder="1" applyAlignment="1">
      <alignment/>
    </xf>
    <xf numFmtId="165" fontId="11" fillId="25" borderId="10" xfId="0" applyNumberFormat="1" applyFont="1" applyFill="1" applyBorder="1" applyAlignment="1">
      <alignment/>
    </xf>
    <xf numFmtId="165" fontId="10" fillId="25" borderId="0" xfId="0" applyNumberFormat="1" applyFont="1" applyFill="1" applyAlignment="1">
      <alignment/>
    </xf>
    <xf numFmtId="2" fontId="13" fillId="25" borderId="10" xfId="0" applyNumberFormat="1" applyFont="1" applyFill="1" applyBorder="1" applyAlignment="1">
      <alignment/>
    </xf>
    <xf numFmtId="2" fontId="2" fillId="25" borderId="10" xfId="0" applyNumberFormat="1" applyFont="1" applyFill="1" applyBorder="1" applyAlignment="1">
      <alignment/>
    </xf>
    <xf numFmtId="2" fontId="13" fillId="25" borderId="10" xfId="0" applyNumberFormat="1" applyFont="1" applyFill="1" applyBorder="1" applyAlignment="1">
      <alignment horizontal="center"/>
    </xf>
    <xf numFmtId="166" fontId="11" fillId="25" borderId="10" xfId="61" applyNumberFormat="1" applyFont="1" applyFill="1" applyBorder="1" applyAlignment="1">
      <alignment/>
    </xf>
    <xf numFmtId="166" fontId="4" fillId="25" borderId="10" xfId="61" applyNumberFormat="1" applyFont="1" applyFill="1" applyBorder="1" applyAlignment="1">
      <alignment/>
    </xf>
    <xf numFmtId="2" fontId="4" fillId="25" borderId="10" xfId="61" applyNumberFormat="1" applyFont="1" applyFill="1" applyBorder="1" applyAlignment="1">
      <alignment/>
    </xf>
    <xf numFmtId="166" fontId="17" fillId="25" borderId="10" xfId="61" applyNumberFormat="1" applyFont="1" applyFill="1" applyBorder="1" applyAlignment="1">
      <alignment/>
    </xf>
    <xf numFmtId="171" fontId="11" fillId="25" borderId="10" xfId="61" applyNumberFormat="1" applyFont="1" applyFill="1" applyBorder="1" applyAlignment="1">
      <alignment/>
    </xf>
    <xf numFmtId="166" fontId="44" fillId="25" borderId="10" xfId="61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3" fillId="25" borderId="57" xfId="0" applyFont="1" applyFill="1" applyBorder="1" applyAlignment="1">
      <alignment horizontal="center" vertical="center" wrapText="1"/>
    </xf>
    <xf numFmtId="0" fontId="3" fillId="25" borderId="58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25" borderId="34" xfId="0" applyFont="1" applyFill="1" applyBorder="1" applyAlignment="1">
      <alignment horizontal="center" vertical="center" wrapText="1"/>
    </xf>
    <xf numFmtId="0" fontId="3" fillId="25" borderId="45" xfId="0" applyFont="1" applyFill="1" applyBorder="1" applyAlignment="1">
      <alignment horizontal="center" vertical="center" wrapText="1"/>
    </xf>
    <xf numFmtId="2" fontId="3" fillId="25" borderId="58" xfId="0" applyNumberFormat="1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/>
    </xf>
    <xf numFmtId="0" fontId="4" fillId="25" borderId="0" xfId="0" applyFont="1" applyFill="1" applyAlignment="1">
      <alignment/>
    </xf>
    <xf numFmtId="0" fontId="1" fillId="25" borderId="16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165" fontId="1" fillId="25" borderId="10" xfId="0" applyNumberFormat="1" applyFont="1" applyFill="1" applyBorder="1" applyAlignment="1">
      <alignment wrapText="1"/>
    </xf>
    <xf numFmtId="0" fontId="1" fillId="25" borderId="27" xfId="0" applyFont="1" applyFill="1" applyBorder="1" applyAlignment="1">
      <alignment wrapText="1"/>
    </xf>
    <xf numFmtId="165" fontId="1" fillId="25" borderId="16" xfId="0" applyNumberFormat="1" applyFont="1" applyFill="1" applyBorder="1" applyAlignment="1">
      <alignment wrapText="1"/>
    </xf>
    <xf numFmtId="2" fontId="1" fillId="25" borderId="10" xfId="0" applyNumberFormat="1" applyFont="1" applyFill="1" applyBorder="1" applyAlignment="1">
      <alignment wrapText="1"/>
    </xf>
    <xf numFmtId="2" fontId="1" fillId="25" borderId="17" xfId="0" applyNumberFormat="1" applyFont="1" applyFill="1" applyBorder="1" applyAlignment="1">
      <alignment wrapText="1"/>
    </xf>
    <xf numFmtId="0" fontId="4" fillId="25" borderId="0" xfId="0" applyFont="1" applyFill="1" applyAlignment="1">
      <alignment wrapText="1"/>
    </xf>
    <xf numFmtId="0" fontId="1" fillId="25" borderId="18" xfId="0" applyFont="1" applyFill="1" applyBorder="1" applyAlignment="1">
      <alignment wrapText="1"/>
    </xf>
    <xf numFmtId="0" fontId="1" fillId="25" borderId="52" xfId="0" applyFont="1" applyFill="1" applyBorder="1" applyAlignment="1">
      <alignment wrapText="1"/>
    </xf>
    <xf numFmtId="165" fontId="1" fillId="25" borderId="52" xfId="0" applyNumberFormat="1" applyFont="1" applyFill="1" applyBorder="1" applyAlignment="1">
      <alignment wrapText="1"/>
    </xf>
    <xf numFmtId="0" fontId="1" fillId="25" borderId="46" xfId="0" applyFont="1" applyFill="1" applyBorder="1" applyAlignment="1">
      <alignment wrapText="1"/>
    </xf>
    <xf numFmtId="165" fontId="1" fillId="25" borderId="18" xfId="0" applyNumberFormat="1" applyFont="1" applyFill="1" applyBorder="1" applyAlignment="1">
      <alignment wrapText="1"/>
    </xf>
    <xf numFmtId="2" fontId="1" fillId="25" borderId="52" xfId="0" applyNumberFormat="1" applyFont="1" applyFill="1" applyBorder="1" applyAlignment="1">
      <alignment wrapText="1"/>
    </xf>
    <xf numFmtId="2" fontId="1" fillId="25" borderId="26" xfId="0" applyNumberFormat="1" applyFont="1" applyFill="1" applyBorder="1" applyAlignment="1">
      <alignment wrapText="1"/>
    </xf>
    <xf numFmtId="0" fontId="3" fillId="25" borderId="54" xfId="0" applyFont="1" applyFill="1" applyBorder="1" applyAlignment="1">
      <alignment wrapText="1"/>
    </xf>
    <xf numFmtId="0" fontId="3" fillId="25" borderId="58" xfId="0" applyFont="1" applyFill="1" applyBorder="1" applyAlignment="1">
      <alignment wrapText="1"/>
    </xf>
    <xf numFmtId="165" fontId="3" fillId="25" borderId="58" xfId="0" applyNumberFormat="1" applyFont="1" applyFill="1" applyBorder="1" applyAlignment="1">
      <alignment wrapText="1"/>
    </xf>
    <xf numFmtId="165" fontId="3" fillId="25" borderId="54" xfId="0" applyNumberFormat="1" applyFont="1" applyFill="1" applyBorder="1" applyAlignment="1">
      <alignment wrapText="1"/>
    </xf>
    <xf numFmtId="165" fontId="3" fillId="25" borderId="59" xfId="0" applyNumberFormat="1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3" fillId="25" borderId="58" xfId="0" applyFont="1" applyFill="1" applyBorder="1" applyAlignment="1">
      <alignment wrapText="1" shrinkToFit="1"/>
    </xf>
    <xf numFmtId="0" fontId="3" fillId="25" borderId="10" xfId="0" applyFont="1" applyFill="1" applyBorder="1" applyAlignment="1">
      <alignment wrapText="1"/>
    </xf>
    <xf numFmtId="165" fontId="3" fillId="25" borderId="10" xfId="0" applyNumberFormat="1" applyFont="1" applyFill="1" applyBorder="1" applyAlignment="1">
      <alignment wrapText="1"/>
    </xf>
    <xf numFmtId="165" fontId="3" fillId="25" borderId="27" xfId="0" applyNumberFormat="1" applyFont="1" applyFill="1" applyBorder="1" applyAlignment="1">
      <alignment wrapText="1"/>
    </xf>
    <xf numFmtId="0" fontId="3" fillId="25" borderId="10" xfId="0" applyFont="1" applyFill="1" applyBorder="1" applyAlignment="1">
      <alignment wrapText="1" shrinkToFit="1"/>
    </xf>
    <xf numFmtId="0" fontId="3" fillId="25" borderId="27" xfId="0" applyFont="1" applyFill="1" applyBorder="1" applyAlignment="1">
      <alignment wrapText="1"/>
    </xf>
    <xf numFmtId="0" fontId="3" fillId="25" borderId="52" xfId="0" applyFont="1" applyFill="1" applyBorder="1" applyAlignment="1">
      <alignment wrapText="1" shrinkToFit="1"/>
    </xf>
    <xf numFmtId="0" fontId="3" fillId="25" borderId="52" xfId="0" applyFont="1" applyFill="1" applyBorder="1" applyAlignment="1">
      <alignment wrapText="1"/>
    </xf>
    <xf numFmtId="165" fontId="3" fillId="25" borderId="52" xfId="0" applyNumberFormat="1" applyFont="1" applyFill="1" applyBorder="1" applyAlignment="1">
      <alignment wrapText="1"/>
    </xf>
    <xf numFmtId="165" fontId="3" fillId="25" borderId="46" xfId="0" applyNumberFormat="1" applyFont="1" applyFill="1" applyBorder="1" applyAlignment="1">
      <alignment wrapText="1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wrapText="1" shrinkToFit="1"/>
    </xf>
    <xf numFmtId="0" fontId="1" fillId="25" borderId="23" xfId="0" applyFont="1" applyFill="1" applyBorder="1" applyAlignment="1">
      <alignment wrapText="1" shrinkToFit="1"/>
    </xf>
    <xf numFmtId="0" fontId="1" fillId="25" borderId="50" xfId="0" applyFont="1" applyFill="1" applyBorder="1" applyAlignment="1">
      <alignment wrapText="1" shrinkToFit="1"/>
    </xf>
    <xf numFmtId="165" fontId="1" fillId="25" borderId="34" xfId="0" applyNumberFormat="1" applyFont="1" applyFill="1" applyBorder="1" applyAlignment="1">
      <alignment wrapText="1"/>
    </xf>
    <xf numFmtId="0" fontId="1" fillId="25" borderId="34" xfId="0" applyFont="1" applyFill="1" applyBorder="1" applyAlignment="1">
      <alignment/>
    </xf>
    <xf numFmtId="0" fontId="1" fillId="25" borderId="34" xfId="0" applyFont="1" applyFill="1" applyBorder="1" applyAlignment="1">
      <alignment wrapText="1"/>
    </xf>
    <xf numFmtId="2" fontId="1" fillId="25" borderId="34" xfId="0" applyNumberFormat="1" applyFont="1" applyFill="1" applyBorder="1" applyAlignment="1">
      <alignment wrapText="1"/>
    </xf>
    <xf numFmtId="2" fontId="1" fillId="25" borderId="44" xfId="0" applyNumberFormat="1" applyFont="1" applyFill="1" applyBorder="1" applyAlignment="1">
      <alignment wrapText="1"/>
    </xf>
    <xf numFmtId="0" fontId="1" fillId="25" borderId="27" xfId="0" applyFont="1" applyFill="1" applyBorder="1" applyAlignment="1">
      <alignment/>
    </xf>
    <xf numFmtId="165" fontId="3" fillId="25" borderId="57" xfId="0" applyNumberFormat="1" applyFont="1" applyFill="1" applyBorder="1" applyAlignment="1">
      <alignment wrapText="1"/>
    </xf>
    <xf numFmtId="165" fontId="3" fillId="25" borderId="16" xfId="0" applyNumberFormat="1" applyFont="1" applyFill="1" applyBorder="1" applyAlignment="1">
      <alignment wrapText="1"/>
    </xf>
    <xf numFmtId="165" fontId="3" fillId="25" borderId="18" xfId="0" applyNumberFormat="1" applyFont="1" applyFill="1" applyBorder="1" applyAlignment="1">
      <alignment wrapText="1"/>
    </xf>
    <xf numFmtId="0" fontId="3" fillId="25" borderId="10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6" fillId="25" borderId="10" xfId="0" applyFont="1" applyFill="1" applyBorder="1" applyAlignment="1">
      <alignment wrapText="1"/>
    </xf>
    <xf numFmtId="0" fontId="1" fillId="25" borderId="33" xfId="0" applyFont="1" applyFill="1" applyBorder="1" applyAlignment="1">
      <alignment wrapText="1"/>
    </xf>
    <xf numFmtId="0" fontId="6" fillId="25" borderId="34" xfId="0" applyFont="1" applyFill="1" applyBorder="1" applyAlignment="1">
      <alignment wrapText="1"/>
    </xf>
    <xf numFmtId="0" fontId="1" fillId="25" borderId="44" xfId="0" applyFont="1" applyFill="1" applyBorder="1" applyAlignment="1">
      <alignment/>
    </xf>
    <xf numFmtId="165" fontId="3" fillId="25" borderId="53" xfId="0" applyNumberFormat="1" applyFont="1" applyFill="1" applyBorder="1" applyAlignment="1">
      <alignment wrapText="1"/>
    </xf>
    <xf numFmtId="165" fontId="3" fillId="25" borderId="60" xfId="0" applyNumberFormat="1" applyFont="1" applyFill="1" applyBorder="1" applyAlignment="1">
      <alignment wrapText="1"/>
    </xf>
    <xf numFmtId="0" fontId="1" fillId="25" borderId="55" xfId="0" applyFont="1" applyFill="1" applyBorder="1" applyAlignment="1">
      <alignment/>
    </xf>
    <xf numFmtId="0" fontId="3" fillId="25" borderId="57" xfId="0" applyFont="1" applyFill="1" applyBorder="1" applyAlignment="1">
      <alignment wrapText="1"/>
    </xf>
    <xf numFmtId="0" fontId="1" fillId="25" borderId="58" xfId="0" applyFont="1" applyFill="1" applyBorder="1" applyAlignment="1">
      <alignment/>
    </xf>
    <xf numFmtId="165" fontId="3" fillId="25" borderId="21" xfId="0" applyNumberFormat="1" applyFont="1" applyFill="1" applyBorder="1" applyAlignment="1">
      <alignment wrapText="1"/>
    </xf>
    <xf numFmtId="0" fontId="3" fillId="25" borderId="16" xfId="0" applyFont="1" applyFill="1" applyBorder="1" applyAlignment="1">
      <alignment wrapText="1" shrinkToFit="1"/>
    </xf>
    <xf numFmtId="0" fontId="3" fillId="25" borderId="18" xfId="0" applyFont="1" applyFill="1" applyBorder="1" applyAlignment="1">
      <alignment wrapText="1" shrinkToFit="1"/>
    </xf>
    <xf numFmtId="0" fontId="1" fillId="25" borderId="52" xfId="0" applyFont="1" applyFill="1" applyBorder="1" applyAlignment="1">
      <alignment/>
    </xf>
    <xf numFmtId="172" fontId="3" fillId="0" borderId="14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2" fontId="3" fillId="25" borderId="58" xfId="0" applyNumberFormat="1" applyFont="1" applyFill="1" applyBorder="1" applyAlignment="1">
      <alignment wrapText="1"/>
    </xf>
    <xf numFmtId="2" fontId="1" fillId="25" borderId="10" xfId="0" applyNumberFormat="1" applyFont="1" applyFill="1" applyBorder="1" applyAlignment="1">
      <alignment/>
    </xf>
    <xf numFmtId="2" fontId="1" fillId="25" borderId="10" xfId="0" applyNumberFormat="1" applyFont="1" applyFill="1" applyBorder="1" applyAlignment="1">
      <alignment horizontal="right" wrapText="1"/>
    </xf>
    <xf numFmtId="0" fontId="3" fillId="25" borderId="66" xfId="0" applyFont="1" applyFill="1" applyBorder="1" applyAlignment="1">
      <alignment horizontal="center" vertical="center" wrapText="1"/>
    </xf>
    <xf numFmtId="0" fontId="1" fillId="25" borderId="67" xfId="0" applyFont="1" applyFill="1" applyBorder="1" applyAlignment="1">
      <alignment wrapText="1"/>
    </xf>
    <xf numFmtId="0" fontId="1" fillId="25" borderId="68" xfId="0" applyFont="1" applyFill="1" applyBorder="1" applyAlignment="1">
      <alignment wrapText="1"/>
    </xf>
    <xf numFmtId="165" fontId="3" fillId="25" borderId="0" xfId="0" applyNumberFormat="1" applyFont="1" applyFill="1" applyBorder="1" applyAlignment="1">
      <alignment wrapText="1"/>
    </xf>
    <xf numFmtId="0" fontId="3" fillId="25" borderId="0" xfId="0" applyFont="1" applyFill="1" applyBorder="1" applyAlignment="1">
      <alignment wrapText="1"/>
    </xf>
    <xf numFmtId="165" fontId="3" fillId="25" borderId="69" xfId="0" applyNumberFormat="1" applyFont="1" applyFill="1" applyBorder="1" applyAlignment="1">
      <alignment wrapText="1"/>
    </xf>
    <xf numFmtId="165" fontId="3" fillId="25" borderId="70" xfId="0" applyNumberFormat="1" applyFont="1" applyFill="1" applyBorder="1" applyAlignment="1">
      <alignment wrapText="1"/>
    </xf>
    <xf numFmtId="165" fontId="3" fillId="25" borderId="71" xfId="0" applyNumberFormat="1" applyFont="1" applyFill="1" applyBorder="1" applyAlignment="1">
      <alignment wrapText="1"/>
    </xf>
    <xf numFmtId="165" fontId="3" fillId="25" borderId="72" xfId="0" applyNumberFormat="1" applyFont="1" applyFill="1" applyBorder="1" applyAlignment="1">
      <alignment wrapText="1"/>
    </xf>
    <xf numFmtId="165" fontId="3" fillId="25" borderId="10" xfId="0" applyNumberFormat="1" applyFont="1" applyFill="1" applyBorder="1" applyAlignment="1">
      <alignment wrapText="1"/>
    </xf>
    <xf numFmtId="0" fontId="1" fillId="25" borderId="73" xfId="0" applyFont="1" applyFill="1" applyBorder="1" applyAlignment="1">
      <alignment wrapText="1"/>
    </xf>
    <xf numFmtId="0" fontId="6" fillId="25" borderId="74" xfId="0" applyFont="1" applyFill="1" applyBorder="1" applyAlignment="1">
      <alignment wrapText="1"/>
    </xf>
    <xf numFmtId="165" fontId="1" fillId="25" borderId="75" xfId="0" applyNumberFormat="1" applyFont="1" applyFill="1" applyBorder="1" applyAlignment="1">
      <alignment wrapText="1"/>
    </xf>
    <xf numFmtId="2" fontId="1" fillId="25" borderId="75" xfId="0" applyNumberFormat="1" applyFont="1" applyFill="1" applyBorder="1" applyAlignment="1">
      <alignment wrapText="1"/>
    </xf>
    <xf numFmtId="0" fontId="1" fillId="25" borderId="61" xfId="0" applyFont="1" applyFill="1" applyBorder="1" applyAlignment="1">
      <alignment/>
    </xf>
    <xf numFmtId="0" fontId="1" fillId="25" borderId="76" xfId="0" applyFont="1" applyFill="1" applyBorder="1" applyAlignment="1">
      <alignment/>
    </xf>
    <xf numFmtId="0" fontId="1" fillId="25" borderId="77" xfId="0" applyFont="1" applyFill="1" applyBorder="1" applyAlignment="1">
      <alignment/>
    </xf>
    <xf numFmtId="165" fontId="3" fillId="25" borderId="78" xfId="0" applyNumberFormat="1" applyFont="1" applyFill="1" applyBorder="1" applyAlignment="1">
      <alignment wrapText="1"/>
    </xf>
    <xf numFmtId="165" fontId="3" fillId="25" borderId="79" xfId="0" applyNumberFormat="1" applyFont="1" applyFill="1" applyBorder="1" applyAlignment="1">
      <alignment wrapText="1"/>
    </xf>
    <xf numFmtId="165" fontId="3" fillId="25" borderId="76" xfId="0" applyNumberFormat="1" applyFont="1" applyFill="1" applyBorder="1" applyAlignment="1">
      <alignment wrapText="1"/>
    </xf>
    <xf numFmtId="172" fontId="1" fillId="25" borderId="10" xfId="0" applyNumberFormat="1" applyFont="1" applyFill="1" applyBorder="1" applyAlignment="1">
      <alignment/>
    </xf>
    <xf numFmtId="173" fontId="3" fillId="25" borderId="58" xfId="0" applyNumberFormat="1" applyFont="1" applyFill="1" applyBorder="1" applyAlignment="1">
      <alignment wrapText="1"/>
    </xf>
    <xf numFmtId="2" fontId="1" fillId="24" borderId="10" xfId="0" applyNumberFormat="1" applyFont="1" applyFill="1" applyBorder="1" applyAlignment="1">
      <alignment horizontal="center" wrapText="1"/>
    </xf>
    <xf numFmtId="2" fontId="1" fillId="24" borderId="17" xfId="0" applyNumberFormat="1" applyFont="1" applyFill="1" applyBorder="1" applyAlignment="1">
      <alignment wrapText="1"/>
    </xf>
    <xf numFmtId="2" fontId="3" fillId="0" borderId="62" xfId="0" applyNumberFormat="1" applyFont="1" applyFill="1" applyBorder="1" applyAlignment="1">
      <alignment wrapText="1"/>
    </xf>
    <xf numFmtId="2" fontId="22" fillId="0" borderId="80" xfId="0" applyNumberFormat="1" applyFont="1" applyFill="1" applyBorder="1" applyAlignment="1">
      <alignment wrapText="1" shrinkToFit="1"/>
    </xf>
    <xf numFmtId="2" fontId="3" fillId="0" borderId="40" xfId="0" applyNumberFormat="1" applyFont="1" applyFill="1" applyBorder="1" applyAlignment="1">
      <alignment wrapText="1"/>
    </xf>
    <xf numFmtId="2" fontId="3" fillId="0" borderId="29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2" fontId="3" fillId="0" borderId="64" xfId="0" applyNumberFormat="1" applyFont="1" applyFill="1" applyBorder="1" applyAlignment="1">
      <alignment wrapText="1"/>
    </xf>
    <xf numFmtId="2" fontId="21" fillId="0" borderId="16" xfId="0" applyNumberFormat="1" applyFont="1" applyFill="1" applyBorder="1" applyAlignment="1">
      <alignment horizontal="left" wrapText="1"/>
    </xf>
    <xf numFmtId="2" fontId="21" fillId="0" borderId="16" xfId="0" applyNumberFormat="1" applyFont="1" applyFill="1" applyBorder="1" applyAlignment="1">
      <alignment wrapText="1"/>
    </xf>
    <xf numFmtId="2" fontId="25" fillId="0" borderId="16" xfId="0" applyNumberFormat="1" applyFont="1" applyFill="1" applyBorder="1" applyAlignment="1">
      <alignment horizontal="left" wrapText="1"/>
    </xf>
    <xf numFmtId="2" fontId="21" fillId="0" borderId="18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2" fontId="10" fillId="25" borderId="0" xfId="0" applyNumberFormat="1" applyFont="1" applyFill="1" applyAlignment="1">
      <alignment/>
    </xf>
    <xf numFmtId="172" fontId="0" fillId="0" borderId="0" xfId="0" applyNumberFormat="1" applyAlignment="1">
      <alignment/>
    </xf>
    <xf numFmtId="2" fontId="21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" fontId="20" fillId="0" borderId="60" xfId="0" applyNumberFormat="1" applyFont="1" applyFill="1" applyBorder="1" applyAlignment="1">
      <alignment horizontal="center" wrapText="1"/>
    </xf>
    <xf numFmtId="1" fontId="20" fillId="0" borderId="81" xfId="0" applyNumberFormat="1" applyFont="1" applyFill="1" applyBorder="1" applyAlignment="1">
      <alignment horizontal="center" vertical="top" wrapText="1"/>
    </xf>
    <xf numFmtId="1" fontId="20" fillId="0" borderId="60" xfId="0" applyNumberFormat="1" applyFont="1" applyFill="1" applyBorder="1" applyAlignment="1">
      <alignment horizontal="center" vertical="top" wrapText="1"/>
    </xf>
    <xf numFmtId="1" fontId="20" fillId="0" borderId="15" xfId="0" applyNumberFormat="1" applyFont="1" applyFill="1" applyBorder="1" applyAlignment="1">
      <alignment horizontal="center" vertical="top" wrapText="1"/>
    </xf>
    <xf numFmtId="165" fontId="3" fillId="25" borderId="61" xfId="0" applyNumberFormat="1" applyFont="1" applyFill="1" applyBorder="1" applyAlignment="1">
      <alignment horizontal="center" wrapText="1"/>
    </xf>
    <xf numFmtId="165" fontId="3" fillId="25" borderId="56" xfId="0" applyNumberFormat="1" applyFont="1" applyFill="1" applyBorder="1" applyAlignment="1">
      <alignment horizontal="center" wrapText="1"/>
    </xf>
    <xf numFmtId="165" fontId="3" fillId="25" borderId="69" xfId="0" applyNumberFormat="1" applyFont="1" applyFill="1" applyBorder="1" applyAlignment="1">
      <alignment horizontal="center" wrapText="1"/>
    </xf>
    <xf numFmtId="165" fontId="3" fillId="25" borderId="55" xfId="0" applyNumberFormat="1" applyFont="1" applyFill="1" applyBorder="1" applyAlignment="1">
      <alignment horizontal="center" wrapText="1"/>
    </xf>
    <xf numFmtId="165" fontId="3" fillId="25" borderId="0" xfId="0" applyNumberFormat="1" applyFont="1" applyFill="1" applyBorder="1" applyAlignment="1">
      <alignment horizontal="center" wrapText="1"/>
    </xf>
    <xf numFmtId="165" fontId="3" fillId="25" borderId="52" xfId="0" applyNumberFormat="1" applyFont="1" applyFill="1" applyBorder="1" applyAlignment="1">
      <alignment horizontal="center" wrapText="1"/>
    </xf>
    <xf numFmtId="165" fontId="3" fillId="25" borderId="26" xfId="0" applyNumberFormat="1" applyFont="1" applyFill="1" applyBorder="1" applyAlignment="1">
      <alignment horizontal="center" wrapText="1"/>
    </xf>
    <xf numFmtId="165" fontId="3" fillId="25" borderId="65" xfId="0" applyNumberFormat="1" applyFont="1" applyFill="1" applyBorder="1" applyAlignment="1">
      <alignment horizontal="center" wrapText="1"/>
    </xf>
    <xf numFmtId="165" fontId="3" fillId="25" borderId="81" xfId="0" applyNumberFormat="1" applyFont="1" applyFill="1" applyBorder="1" applyAlignment="1">
      <alignment horizontal="center" wrapText="1"/>
    </xf>
    <xf numFmtId="165" fontId="3" fillId="25" borderId="15" xfId="0" applyNumberFormat="1" applyFont="1" applyFill="1" applyBorder="1" applyAlignment="1">
      <alignment horizontal="center" wrapText="1"/>
    </xf>
    <xf numFmtId="0" fontId="1" fillId="25" borderId="61" xfId="0" applyFont="1" applyFill="1" applyBorder="1" applyAlignment="1">
      <alignment horizontal="center"/>
    </xf>
    <xf numFmtId="165" fontId="3" fillId="25" borderId="10" xfId="0" applyNumberFormat="1" applyFont="1" applyFill="1" applyBorder="1" applyAlignment="1">
      <alignment horizontal="center" wrapText="1"/>
    </xf>
    <xf numFmtId="165" fontId="3" fillId="25" borderId="17" xfId="0" applyNumberFormat="1" applyFont="1" applyFill="1" applyBorder="1" applyAlignment="1">
      <alignment horizontal="center" wrapText="1"/>
    </xf>
    <xf numFmtId="0" fontId="3" fillId="25" borderId="34" xfId="0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wrapText="1"/>
    </xf>
    <xf numFmtId="165" fontId="3" fillId="0" borderId="46" xfId="0" applyNumberFormat="1" applyFont="1" applyFill="1" applyBorder="1" applyAlignment="1">
      <alignment wrapText="1"/>
    </xf>
    <xf numFmtId="2" fontId="2" fillId="0" borderId="54" xfId="0" applyNumberFormat="1" applyFont="1" applyFill="1" applyBorder="1" applyAlignment="1">
      <alignment wrapText="1"/>
    </xf>
    <xf numFmtId="0" fontId="1" fillId="25" borderId="58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34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44" xfId="0" applyFont="1" applyFill="1" applyBorder="1" applyAlignment="1">
      <alignment horizontal="center" vertical="center" wrapText="1"/>
    </xf>
    <xf numFmtId="0" fontId="3" fillId="25" borderId="57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33" xfId="0" applyFont="1" applyFill="1" applyBorder="1" applyAlignment="1">
      <alignment horizontal="center" vertical="center" wrapText="1"/>
    </xf>
    <xf numFmtId="165" fontId="3" fillId="25" borderId="58" xfId="0" applyNumberFormat="1" applyFont="1" applyFill="1" applyBorder="1" applyAlignment="1">
      <alignment horizontal="center" vertical="center" wrapText="1"/>
    </xf>
    <xf numFmtId="165" fontId="3" fillId="25" borderId="10" xfId="0" applyNumberFormat="1" applyFont="1" applyFill="1" applyBorder="1" applyAlignment="1">
      <alignment horizontal="center" vertical="center" wrapText="1"/>
    </xf>
    <xf numFmtId="165" fontId="3" fillId="25" borderId="34" xfId="0" applyNumberFormat="1" applyFont="1" applyFill="1" applyBorder="1" applyAlignment="1">
      <alignment horizontal="center" vertical="center" wrapText="1"/>
    </xf>
    <xf numFmtId="0" fontId="1" fillId="25" borderId="82" xfId="0" applyFont="1" applyFill="1" applyBorder="1" applyAlignment="1">
      <alignment horizontal="center" vertical="center" wrapText="1"/>
    </xf>
    <xf numFmtId="0" fontId="1" fillId="25" borderId="83" xfId="0" applyFont="1" applyFill="1" applyBorder="1" applyAlignment="1">
      <alignment horizontal="center" vertical="center" wrapText="1"/>
    </xf>
    <xf numFmtId="0" fontId="1" fillId="25" borderId="84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/>
    </xf>
    <xf numFmtId="0" fontId="3" fillId="25" borderId="58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5" fontId="3" fillId="25" borderId="42" xfId="0" applyNumberFormat="1" applyFont="1" applyFill="1" applyBorder="1" applyAlignment="1">
      <alignment horizontal="center" wrapText="1"/>
    </xf>
    <xf numFmtId="165" fontId="3" fillId="25" borderId="69" xfId="0" applyNumberFormat="1" applyFont="1" applyFill="1" applyBorder="1" applyAlignment="1">
      <alignment horizontal="center" wrapText="1"/>
    </xf>
    <xf numFmtId="0" fontId="1" fillId="25" borderId="45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25" borderId="32" xfId="0" applyFont="1" applyFill="1" applyBorder="1" applyAlignment="1">
      <alignment horizontal="center" vertical="center" wrapText="1"/>
    </xf>
    <xf numFmtId="0" fontId="3" fillId="25" borderId="53" xfId="0" applyFont="1" applyFill="1" applyBorder="1" applyAlignment="1">
      <alignment horizontal="center" wrapText="1"/>
    </xf>
    <xf numFmtId="0" fontId="3" fillId="25" borderId="73" xfId="0" applyFont="1" applyFill="1" applyBorder="1" applyAlignment="1">
      <alignment horizontal="center" wrapText="1"/>
    </xf>
    <xf numFmtId="0" fontId="3" fillId="25" borderId="85" xfId="0" applyFont="1" applyFill="1" applyBorder="1" applyAlignment="1">
      <alignment horizontal="center" wrapText="1"/>
    </xf>
    <xf numFmtId="0" fontId="1" fillId="25" borderId="33" xfId="0" applyFont="1" applyFill="1" applyBorder="1" applyAlignment="1">
      <alignment horizontal="center" wrapText="1"/>
    </xf>
    <xf numFmtId="0" fontId="1" fillId="25" borderId="73" xfId="0" applyFont="1" applyFill="1" applyBorder="1" applyAlignment="1">
      <alignment horizontal="center" wrapText="1"/>
    </xf>
    <xf numFmtId="0" fontId="1" fillId="25" borderId="28" xfId="0" applyFont="1" applyFill="1" applyBorder="1" applyAlignment="1">
      <alignment horizontal="center" wrapText="1"/>
    </xf>
    <xf numFmtId="0" fontId="1" fillId="25" borderId="53" xfId="0" applyFont="1" applyFill="1" applyBorder="1" applyAlignment="1">
      <alignment horizontal="center"/>
    </xf>
    <xf numFmtId="0" fontId="1" fillId="25" borderId="73" xfId="0" applyFont="1" applyFill="1" applyBorder="1" applyAlignment="1">
      <alignment horizontal="center"/>
    </xf>
    <xf numFmtId="0" fontId="1" fillId="25" borderId="85" xfId="0" applyFont="1" applyFill="1" applyBorder="1" applyAlignment="1">
      <alignment horizontal="center"/>
    </xf>
    <xf numFmtId="0" fontId="1" fillId="25" borderId="60" xfId="0" applyFont="1" applyFill="1" applyBorder="1" applyAlignment="1">
      <alignment horizontal="center"/>
    </xf>
    <xf numFmtId="0" fontId="1" fillId="25" borderId="51" xfId="0" applyFont="1" applyFill="1" applyBorder="1" applyAlignment="1">
      <alignment horizontal="center"/>
    </xf>
    <xf numFmtId="0" fontId="1" fillId="25" borderId="8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5" fontId="3" fillId="0" borderId="37" xfId="0" applyNumberFormat="1" applyFont="1" applyFill="1" applyBorder="1" applyAlignment="1">
      <alignment horizontal="center" wrapText="1"/>
    </xf>
    <xf numFmtId="165" fontId="3" fillId="0" borderId="55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165" fontId="3" fillId="0" borderId="61" xfId="0" applyNumberFormat="1" applyFont="1" applyFill="1" applyBorder="1" applyAlignment="1">
      <alignment horizontal="center" wrapText="1"/>
    </xf>
    <xf numFmtId="165" fontId="3" fillId="0" borderId="56" xfId="0" applyNumberFormat="1" applyFont="1" applyFill="1" applyBorder="1" applyAlignment="1">
      <alignment horizontal="center" wrapText="1"/>
    </xf>
    <xf numFmtId="165" fontId="3" fillId="0" borderId="69" xfId="0" applyNumberFormat="1" applyFont="1" applyFill="1" applyBorder="1" applyAlignment="1">
      <alignment horizontal="center" wrapText="1"/>
    </xf>
    <xf numFmtId="165" fontId="3" fillId="0" borderId="42" xfId="0" applyNumberFormat="1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165" fontId="3" fillId="0" borderId="58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52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65" fontId="1" fillId="0" borderId="65" xfId="0" applyNumberFormat="1" applyFont="1" applyFill="1" applyBorder="1" applyAlignment="1">
      <alignment horizontal="center" wrapText="1"/>
    </xf>
    <xf numFmtId="165" fontId="1" fillId="0" borderId="81" xfId="0" applyNumberFormat="1" applyFont="1" applyFill="1" applyBorder="1" applyAlignment="1">
      <alignment horizontal="center" wrapText="1"/>
    </xf>
    <xf numFmtId="165" fontId="1" fillId="0" borderId="15" xfId="0" applyNumberFormat="1" applyFont="1" applyFill="1" applyBorder="1" applyAlignment="1">
      <alignment horizontal="center" wrapText="1"/>
    </xf>
    <xf numFmtId="165" fontId="1" fillId="0" borderId="55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5" fontId="1" fillId="0" borderId="61" xfId="0" applyNumberFormat="1" applyFont="1" applyFill="1" applyBorder="1" applyAlignment="1">
      <alignment horizontal="center" wrapText="1"/>
    </xf>
    <xf numFmtId="165" fontId="1" fillId="0" borderId="56" xfId="0" applyNumberFormat="1" applyFont="1" applyFill="1" applyBorder="1" applyAlignment="1">
      <alignment horizontal="center" wrapText="1"/>
    </xf>
    <xf numFmtId="165" fontId="1" fillId="0" borderId="69" xfId="0" applyNumberFormat="1" applyFont="1" applyFill="1" applyBorder="1" applyAlignment="1">
      <alignment horizontal="center" wrapText="1"/>
    </xf>
    <xf numFmtId="165" fontId="1" fillId="0" borderId="42" xfId="0" applyNumberFormat="1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165" fontId="3" fillId="0" borderId="65" xfId="0" applyNumberFormat="1" applyFont="1" applyFill="1" applyBorder="1" applyAlignment="1">
      <alignment horizontal="center" wrapText="1"/>
    </xf>
    <xf numFmtId="165" fontId="3" fillId="0" borderId="81" xfId="0" applyNumberFormat="1" applyFont="1" applyFill="1" applyBorder="1" applyAlignment="1">
      <alignment horizontal="center" wrapText="1"/>
    </xf>
    <xf numFmtId="165" fontId="3" fillId="0" borderId="15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 wrapText="1"/>
    </xf>
    <xf numFmtId="2" fontId="1" fillId="0" borderId="81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55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61" xfId="0" applyNumberFormat="1" applyFont="1" applyFill="1" applyBorder="1" applyAlignment="1">
      <alignment horizontal="center" wrapText="1"/>
    </xf>
    <xf numFmtId="2" fontId="1" fillId="0" borderId="56" xfId="0" applyNumberFormat="1" applyFont="1" applyFill="1" applyBorder="1" applyAlignment="1">
      <alignment horizontal="center" wrapText="1"/>
    </xf>
    <xf numFmtId="2" fontId="1" fillId="0" borderId="69" xfId="0" applyNumberFormat="1" applyFont="1" applyFill="1" applyBorder="1" applyAlignment="1">
      <alignment horizontal="center" wrapText="1"/>
    </xf>
    <xf numFmtId="2" fontId="1" fillId="0" borderId="42" xfId="0" applyNumberFormat="1" applyFont="1" applyFill="1" applyBorder="1" applyAlignment="1">
      <alignment horizontal="center" wrapText="1"/>
    </xf>
    <xf numFmtId="2" fontId="1" fillId="0" borderId="80" xfId="0" applyNumberFormat="1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wrapText="1"/>
    </xf>
    <xf numFmtId="2" fontId="1" fillId="0" borderId="87" xfId="0" applyNumberFormat="1" applyFont="1" applyFill="1" applyBorder="1" applyAlignment="1">
      <alignment horizontal="center" wrapText="1"/>
    </xf>
    <xf numFmtId="2" fontId="1" fillId="0" borderId="30" xfId="0" applyNumberFormat="1" applyFont="1" applyFill="1" applyBorder="1" applyAlignment="1">
      <alignment horizont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5" fontId="1" fillId="0" borderId="54" xfId="0" applyNumberFormat="1" applyFont="1" applyBorder="1" applyAlignment="1">
      <alignment horizontal="center" vertical="center" wrapText="1"/>
    </xf>
    <xf numFmtId="165" fontId="1" fillId="0" borderId="29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6" fillId="25" borderId="80" xfId="0" applyFont="1" applyFill="1" applyBorder="1" applyAlignment="1">
      <alignment horizont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center" vertical="center"/>
    </xf>
    <xf numFmtId="0" fontId="11" fillId="25" borderId="74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1" fillId="25" borderId="34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0" fontId="2" fillId="25" borderId="34" xfId="0" applyFont="1" applyFill="1" applyBorder="1" applyAlignment="1">
      <alignment horizontal="center" vertical="center" wrapText="1"/>
    </xf>
    <xf numFmtId="0" fontId="2" fillId="25" borderId="74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17" fillId="25" borderId="34" xfId="0" applyFont="1" applyFill="1" applyBorder="1" applyAlignment="1">
      <alignment horizontal="center" vertical="center" wrapText="1"/>
    </xf>
    <xf numFmtId="0" fontId="17" fillId="25" borderId="29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1" fillId="25" borderId="34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 wrapText="1"/>
    </xf>
    <xf numFmtId="0" fontId="4" fillId="25" borderId="87" xfId="0" applyFont="1" applyFill="1" applyBorder="1" applyAlignment="1">
      <alignment horizontal="center" vertical="center" wrapText="1"/>
    </xf>
    <xf numFmtId="0" fontId="4" fillId="25" borderId="89" xfId="0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60" xfId="0" applyNumberFormat="1" applyFont="1" applyFill="1" applyBorder="1" applyAlignment="1">
      <alignment horizontal="center" vertical="center" wrapText="1"/>
    </xf>
    <xf numFmtId="1" fontId="18" fillId="0" borderId="86" xfId="0" applyNumberFormat="1" applyFont="1" applyFill="1" applyBorder="1" applyAlignment="1">
      <alignment horizontal="center" vertical="center" wrapText="1"/>
    </xf>
    <xf numFmtId="2" fontId="21" fillId="0" borderId="31" xfId="0" applyNumberFormat="1" applyFont="1" applyFill="1" applyBorder="1" applyAlignment="1">
      <alignment horizontal="center" wrapText="1"/>
    </xf>
    <xf numFmtId="2" fontId="21" fillId="0" borderId="23" xfId="0" applyNumberFormat="1" applyFont="1" applyFill="1" applyBorder="1" applyAlignment="1">
      <alignment horizontal="center" wrapText="1"/>
    </xf>
    <xf numFmtId="2" fontId="21" fillId="0" borderId="22" xfId="0" applyNumberFormat="1" applyFont="1" applyFill="1" applyBorder="1" applyAlignment="1">
      <alignment horizontal="center" wrapText="1"/>
    </xf>
    <xf numFmtId="2" fontId="25" fillId="0" borderId="71" xfId="0" applyNumberFormat="1" applyFont="1" applyFill="1" applyBorder="1" applyAlignment="1">
      <alignment horizontal="left" wrapText="1"/>
    </xf>
    <xf numFmtId="2" fontId="25" fillId="0" borderId="67" xfId="0" applyNumberFormat="1" applyFont="1" applyFill="1" applyBorder="1" applyAlignment="1">
      <alignment horizontal="left" wrapText="1"/>
    </xf>
    <xf numFmtId="2" fontId="25" fillId="0" borderId="90" xfId="0" applyNumberFormat="1" applyFont="1" applyFill="1" applyBorder="1" applyAlignment="1">
      <alignment horizontal="left" wrapText="1"/>
    </xf>
    <xf numFmtId="2" fontId="20" fillId="0" borderId="27" xfId="0" applyNumberFormat="1" applyFont="1" applyFill="1" applyBorder="1" applyAlignment="1">
      <alignment horizontal="center" wrapText="1"/>
    </xf>
    <xf numFmtId="2" fontId="20" fillId="0" borderId="23" xfId="0" applyNumberFormat="1" applyFont="1" applyFill="1" applyBorder="1" applyAlignment="1">
      <alignment horizontal="center" wrapText="1"/>
    </xf>
    <xf numFmtId="2" fontId="20" fillId="0" borderId="22" xfId="0" applyNumberFormat="1" applyFont="1" applyFill="1" applyBorder="1" applyAlignment="1">
      <alignment horizontal="center" wrapText="1"/>
    </xf>
    <xf numFmtId="2" fontId="21" fillId="0" borderId="31" xfId="0" applyNumberFormat="1" applyFont="1" applyFill="1" applyBorder="1" applyAlignment="1">
      <alignment horizontal="left" wrapText="1"/>
    </xf>
    <xf numFmtId="2" fontId="21" fillId="0" borderId="23" xfId="0" applyNumberFormat="1" applyFont="1" applyFill="1" applyBorder="1" applyAlignment="1">
      <alignment horizontal="left" wrapText="1"/>
    </xf>
    <xf numFmtId="2" fontId="21" fillId="0" borderId="22" xfId="0" applyNumberFormat="1" applyFont="1" applyFill="1" applyBorder="1" applyAlignment="1">
      <alignment horizontal="left" wrapText="1"/>
    </xf>
    <xf numFmtId="2" fontId="25" fillId="0" borderId="31" xfId="0" applyNumberFormat="1" applyFont="1" applyFill="1" applyBorder="1" applyAlignment="1">
      <alignment horizontal="left" wrapText="1"/>
    </xf>
    <xf numFmtId="2" fontId="25" fillId="0" borderId="23" xfId="0" applyNumberFormat="1" applyFont="1" applyFill="1" applyBorder="1" applyAlignment="1">
      <alignment horizontal="left" wrapText="1"/>
    </xf>
    <xf numFmtId="2" fontId="25" fillId="0" borderId="22" xfId="0" applyNumberFormat="1" applyFont="1" applyFill="1" applyBorder="1" applyAlignment="1">
      <alignment horizontal="left" wrapText="1"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 horizontal="left"/>
    </xf>
    <xf numFmtId="2" fontId="47" fillId="0" borderId="0" xfId="0" applyNumberFormat="1" applyFont="1" applyFill="1" applyAlignment="1">
      <alignment horizontal="left"/>
    </xf>
    <xf numFmtId="2" fontId="47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 horizontal="center" wrapText="1" shrinkToFi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0" borderId="65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wrapText="1" shrinkToFit="1"/>
    </xf>
    <xf numFmtId="0" fontId="21" fillId="0" borderId="23" xfId="0" applyFont="1" applyFill="1" applyBorder="1" applyAlignment="1">
      <alignment horizontal="center" wrapText="1" shrinkToFit="1"/>
    </xf>
    <xf numFmtId="0" fontId="21" fillId="0" borderId="22" xfId="0" applyFont="1" applyFill="1" applyBorder="1" applyAlignment="1">
      <alignment horizontal="center" wrapText="1" shrinkToFit="1"/>
    </xf>
    <xf numFmtId="0" fontId="0" fillId="0" borderId="32" xfId="0" applyFill="1" applyBorder="1" applyAlignment="1">
      <alignment horizontal="center"/>
    </xf>
    <xf numFmtId="49" fontId="25" fillId="0" borderId="28" xfId="0" applyNumberFormat="1" applyFont="1" applyFill="1" applyBorder="1" applyAlignment="1">
      <alignment horizontal="left" wrapText="1" shrinkToFit="1"/>
    </xf>
    <xf numFmtId="0" fontId="0" fillId="0" borderId="80" xfId="0" applyFill="1" applyBorder="1" applyAlignment="1">
      <alignment horizontal="center"/>
    </xf>
    <xf numFmtId="2" fontId="21" fillId="0" borderId="16" xfId="0" applyNumberFormat="1" applyFont="1" applyFill="1" applyBorder="1" applyAlignment="1">
      <alignment horizontal="left" wrapText="1" shrinkToFit="1"/>
    </xf>
    <xf numFmtId="2" fontId="22" fillId="0" borderId="10" xfId="0" applyNumberFormat="1" applyFont="1" applyFill="1" applyBorder="1" applyAlignment="1">
      <alignment/>
    </xf>
    <xf numFmtId="2" fontId="22" fillId="0" borderId="17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wrapText="1" shrinkToFit="1"/>
    </xf>
    <xf numFmtId="2" fontId="22" fillId="0" borderId="27" xfId="0" applyNumberFormat="1" applyFont="1" applyFill="1" applyBorder="1" applyAlignment="1">
      <alignment horizontal="center"/>
    </xf>
    <xf numFmtId="2" fontId="22" fillId="0" borderId="23" xfId="0" applyNumberFormat="1" applyFont="1" applyFill="1" applyBorder="1" applyAlignment="1">
      <alignment horizontal="center"/>
    </xf>
    <xf numFmtId="2" fontId="22" fillId="0" borderId="22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2" fontId="23" fillId="0" borderId="17" xfId="0" applyNumberFormat="1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22" fillId="0" borderId="2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172" fontId="22" fillId="0" borderId="27" xfId="0" applyNumberFormat="1" applyFont="1" applyFill="1" applyBorder="1" applyAlignment="1">
      <alignment horizontal="center"/>
    </xf>
    <xf numFmtId="172" fontId="0" fillId="0" borderId="32" xfId="0" applyNumberFormat="1" applyFill="1" applyBorder="1" applyAlignment="1">
      <alignment horizontal="center"/>
    </xf>
    <xf numFmtId="172" fontId="0" fillId="0" borderId="80" xfId="0" applyNumberFormat="1" applyFill="1" applyBorder="1" applyAlignment="1">
      <alignment horizontal="center"/>
    </xf>
    <xf numFmtId="172" fontId="0" fillId="0" borderId="43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0" fillId="0" borderId="48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A62"/>
  <sheetViews>
    <sheetView zoomScale="55" zoomScaleNormal="55" zoomScaleSheetLayoutView="40" zoomScalePageLayoutView="0" workbookViewId="0" topLeftCell="A1">
      <pane ySplit="4" topLeftCell="BM14" activePane="bottomLeft" state="frozen"/>
      <selection pane="topLeft" activeCell="G48" sqref="G48"/>
      <selection pane="bottomLeft" activeCell="C70" sqref="C70"/>
    </sheetView>
  </sheetViews>
  <sheetFormatPr defaultColWidth="9.140625" defaultRowHeight="15"/>
  <cols>
    <col min="1" max="1" width="3.28125" style="259" customWidth="1"/>
    <col min="2" max="2" width="18.00390625" style="259" customWidth="1"/>
    <col min="3" max="3" width="11.00390625" style="259" customWidth="1"/>
    <col min="4" max="4" width="8.7109375" style="259" customWidth="1"/>
    <col min="5" max="5" width="11.00390625" style="259" customWidth="1"/>
    <col min="6" max="6" width="9.28125" style="259" customWidth="1"/>
    <col min="7" max="7" width="9.421875" style="259" customWidth="1"/>
    <col min="8" max="8" width="7.28125" style="259" customWidth="1"/>
    <col min="9" max="9" width="7.7109375" style="259" customWidth="1"/>
    <col min="10" max="10" width="7.57421875" style="259" customWidth="1"/>
    <col min="11" max="11" width="8.57421875" style="259" customWidth="1"/>
    <col min="12" max="13" width="7.8515625" style="259" customWidth="1"/>
    <col min="14" max="16" width="9.421875" style="259" customWidth="1"/>
    <col min="17" max="17" width="11.7109375" style="265" bestFit="1" customWidth="1"/>
    <col min="18" max="20" width="9.140625" style="265" customWidth="1"/>
    <col min="21" max="21" width="13.140625" style="265" customWidth="1"/>
    <col min="22" max="27" width="9.140625" style="265" customWidth="1"/>
    <col min="28" max="16384" width="9.140625" style="45" customWidth="1"/>
  </cols>
  <sheetData>
    <row r="1" spans="1:27" s="135" customFormat="1" ht="16.5" customHeight="1" thickBo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256"/>
      <c r="V1" s="256"/>
      <c r="W1" s="256"/>
      <c r="X1" s="256"/>
      <c r="Y1" s="256"/>
      <c r="Z1" s="256"/>
      <c r="AA1" s="256"/>
    </row>
    <row r="2" spans="1:27" s="7" customFormat="1" ht="50.25" customHeight="1">
      <c r="A2" s="397" t="s">
        <v>0</v>
      </c>
      <c r="B2" s="407" t="s">
        <v>68</v>
      </c>
      <c r="C2" s="391" t="s">
        <v>24</v>
      </c>
      <c r="D2" s="391"/>
      <c r="E2" s="391" t="s">
        <v>82</v>
      </c>
      <c r="F2" s="391" t="s">
        <v>83</v>
      </c>
      <c r="G2" s="391" t="s">
        <v>17</v>
      </c>
      <c r="H2" s="391" t="s">
        <v>18</v>
      </c>
      <c r="I2" s="391" t="s">
        <v>20</v>
      </c>
      <c r="J2" s="391" t="s">
        <v>19</v>
      </c>
      <c r="K2" s="391" t="s">
        <v>102</v>
      </c>
      <c r="L2" s="391"/>
      <c r="M2" s="391" t="s">
        <v>37</v>
      </c>
      <c r="N2" s="391" t="s">
        <v>21</v>
      </c>
      <c r="O2" s="411" t="s">
        <v>103</v>
      </c>
      <c r="P2" s="403" t="s">
        <v>148</v>
      </c>
      <c r="Q2" s="397" t="s">
        <v>54</v>
      </c>
      <c r="R2" s="400" t="s">
        <v>53</v>
      </c>
      <c r="S2" s="400" t="s">
        <v>96</v>
      </c>
      <c r="T2" s="394" t="s">
        <v>55</v>
      </c>
      <c r="U2" s="394" t="s">
        <v>104</v>
      </c>
      <c r="V2" s="259"/>
      <c r="W2" s="259"/>
      <c r="X2" s="259"/>
      <c r="Y2" s="259"/>
      <c r="Z2" s="259"/>
      <c r="AA2" s="259"/>
    </row>
    <row r="3" spans="1:27" s="7" customFormat="1" ht="87.75" customHeight="1">
      <c r="A3" s="398"/>
      <c r="B3" s="408"/>
      <c r="C3" s="260" t="s">
        <v>26</v>
      </c>
      <c r="D3" s="260" t="s">
        <v>33</v>
      </c>
      <c r="E3" s="392"/>
      <c r="F3" s="392"/>
      <c r="G3" s="392"/>
      <c r="H3" s="392"/>
      <c r="I3" s="392"/>
      <c r="J3" s="392"/>
      <c r="K3" s="392" t="s">
        <v>48</v>
      </c>
      <c r="L3" s="392" t="s">
        <v>47</v>
      </c>
      <c r="M3" s="392"/>
      <c r="N3" s="392"/>
      <c r="O3" s="412"/>
      <c r="P3" s="404"/>
      <c r="Q3" s="398"/>
      <c r="R3" s="401"/>
      <c r="S3" s="401"/>
      <c r="T3" s="395"/>
      <c r="U3" s="395"/>
      <c r="V3" s="259"/>
      <c r="W3" s="259"/>
      <c r="X3" s="259"/>
      <c r="Y3" s="259"/>
      <c r="Z3" s="259"/>
      <c r="AA3" s="259"/>
    </row>
    <row r="4" spans="1:27" s="7" customFormat="1" ht="87.75" customHeight="1" thickBot="1">
      <c r="A4" s="399"/>
      <c r="B4" s="387"/>
      <c r="C4" s="261"/>
      <c r="D4" s="261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413"/>
      <c r="P4" s="405"/>
      <c r="Q4" s="399"/>
      <c r="R4" s="402"/>
      <c r="S4" s="402"/>
      <c r="T4" s="396"/>
      <c r="U4" s="396"/>
      <c r="V4" s="259"/>
      <c r="W4" s="259"/>
      <c r="X4" s="259"/>
      <c r="Y4" s="259"/>
      <c r="Z4" s="259"/>
      <c r="AA4" s="259"/>
    </row>
    <row r="5" spans="1:21" ht="15.75">
      <c r="A5" s="257"/>
      <c r="B5" s="258" t="s">
        <v>12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62"/>
      <c r="P5" s="330"/>
      <c r="Q5" s="257"/>
      <c r="R5" s="258"/>
      <c r="S5" s="263"/>
      <c r="T5" s="263"/>
      <c r="U5" s="264"/>
    </row>
    <row r="6" spans="1:27" s="33" customFormat="1" ht="15.75">
      <c r="A6" s="266">
        <v>1</v>
      </c>
      <c r="B6" s="267" t="s">
        <v>3</v>
      </c>
      <c r="C6" s="268">
        <v>2016.9</v>
      </c>
      <c r="D6" s="267"/>
      <c r="E6" s="268">
        <f>SUM(C6:D6)</f>
        <v>2016.9</v>
      </c>
      <c r="F6" s="268"/>
      <c r="G6" s="271">
        <v>30032</v>
      </c>
      <c r="H6" s="268">
        <v>1250</v>
      </c>
      <c r="I6" s="268">
        <v>1320</v>
      </c>
      <c r="J6" s="267"/>
      <c r="K6" s="267"/>
      <c r="L6" s="267"/>
      <c r="M6" s="267">
        <v>7735.2</v>
      </c>
      <c r="N6" s="267">
        <v>2240</v>
      </c>
      <c r="O6" s="269">
        <v>22600</v>
      </c>
      <c r="P6" s="331"/>
      <c r="Q6" s="270">
        <f>E6+F6+G6+H6+I6+J6+K6+L6+M6+N6+O6</f>
        <v>67194.1</v>
      </c>
      <c r="R6" s="268">
        <f>(E6+F6+G6+H6+I6+J6+K6+L6+M6+O6)/1.7</f>
        <v>38208.294117647056</v>
      </c>
      <c r="S6" s="271"/>
      <c r="T6" s="271">
        <f>(E6+F6+G6+H6+I6+J6+K6+L6+M6+N6+O6-R6)*0.4</f>
        <v>11594.32235294118</v>
      </c>
      <c r="U6" s="272">
        <f>(E6+F6+G6+H6+I6+J6+K6+L6+M6+N6+O6-R6)*0.6</f>
        <v>17391.48352941177</v>
      </c>
      <c r="V6" s="273"/>
      <c r="W6" s="273"/>
      <c r="X6" s="273"/>
      <c r="Y6" s="273"/>
      <c r="Z6" s="273"/>
      <c r="AA6" s="273"/>
    </row>
    <row r="7" spans="1:27" s="33" customFormat="1" ht="15.75">
      <c r="A7" s="266">
        <f aca="true" t="shared" si="0" ref="A7:A19">A6+1</f>
        <v>2</v>
      </c>
      <c r="B7" s="267" t="s">
        <v>2</v>
      </c>
      <c r="C7" s="267">
        <v>1754.7</v>
      </c>
      <c r="D7" s="267"/>
      <c r="E7" s="268">
        <f>SUM(C7:D7)</f>
        <v>1754.7</v>
      </c>
      <c r="F7" s="268"/>
      <c r="G7" s="271">
        <v>21303</v>
      </c>
      <c r="H7" s="268">
        <v>1620</v>
      </c>
      <c r="I7" s="268">
        <v>700</v>
      </c>
      <c r="J7" s="267"/>
      <c r="K7" s="267"/>
      <c r="L7" s="267"/>
      <c r="M7" s="268">
        <v>5882</v>
      </c>
      <c r="N7" s="267">
        <v>9100</v>
      </c>
      <c r="O7" s="269">
        <v>13080</v>
      </c>
      <c r="P7" s="331"/>
      <c r="Q7" s="270">
        <f aca="true" t="shared" si="1" ref="Q7:Q39">E7+F7+G7+H7+I7+J7+K7+L7+M7+N7+O7</f>
        <v>53439.7</v>
      </c>
      <c r="R7" s="268">
        <f aca="true" t="shared" si="2" ref="R7:R25">(E7+F7+G7+H7+I7+J7+K7+L7+M7+O7)/1.7</f>
        <v>26082.176470588234</v>
      </c>
      <c r="S7" s="271"/>
      <c r="T7" s="271">
        <f aca="true" t="shared" si="3" ref="T7:T39">(E7+F7+G7+H7+I7+J7+K7+L7+M7+N7+O7-R7)*0.4</f>
        <v>10943.009411764706</v>
      </c>
      <c r="U7" s="272">
        <f aca="true" t="shared" si="4" ref="U7:U39">(E7+F7+G7+H7+I7+J7+K7+L7+M7+N7+O7-R7)*0.6</f>
        <v>16414.514117647057</v>
      </c>
      <c r="V7" s="273"/>
      <c r="W7" s="273"/>
      <c r="X7" s="273"/>
      <c r="Y7" s="273"/>
      <c r="Z7" s="273"/>
      <c r="AA7" s="273"/>
    </row>
    <row r="8" spans="1:27" s="33" customFormat="1" ht="15.75">
      <c r="A8" s="266">
        <f t="shared" si="0"/>
        <v>3</v>
      </c>
      <c r="B8" s="267" t="s">
        <v>6</v>
      </c>
      <c r="C8" s="271"/>
      <c r="D8" s="271">
        <v>730.5</v>
      </c>
      <c r="E8" s="271">
        <f>SUM(C8:D8)</f>
        <v>730.5</v>
      </c>
      <c r="F8" s="268"/>
      <c r="G8" s="271">
        <v>3091</v>
      </c>
      <c r="H8" s="268"/>
      <c r="I8" s="268">
        <v>280</v>
      </c>
      <c r="J8" s="267"/>
      <c r="K8" s="267"/>
      <c r="L8" s="267"/>
      <c r="M8" s="268"/>
      <c r="N8" s="267">
        <v>182.1</v>
      </c>
      <c r="O8" s="269"/>
      <c r="P8" s="331"/>
      <c r="Q8" s="270">
        <f t="shared" si="1"/>
        <v>4283.6</v>
      </c>
      <c r="R8" s="268">
        <f t="shared" si="2"/>
        <v>2412.6470588235293</v>
      </c>
      <c r="S8" s="271"/>
      <c r="T8" s="271">
        <f t="shared" si="3"/>
        <v>748.3811764705885</v>
      </c>
      <c r="U8" s="272">
        <f t="shared" si="4"/>
        <v>1122.5717647058825</v>
      </c>
      <c r="V8" s="273"/>
      <c r="W8" s="273"/>
      <c r="X8" s="273"/>
      <c r="Y8" s="273"/>
      <c r="Z8" s="273"/>
      <c r="AA8" s="273"/>
    </row>
    <row r="9" spans="1:27" s="33" customFormat="1" ht="15.75">
      <c r="A9" s="266">
        <f t="shared" si="0"/>
        <v>4</v>
      </c>
      <c r="B9" s="267" t="s">
        <v>8</v>
      </c>
      <c r="C9" s="271"/>
      <c r="D9" s="271">
        <v>20</v>
      </c>
      <c r="E9" s="271">
        <f>SUM(C9:D9)</f>
        <v>20</v>
      </c>
      <c r="F9" s="268"/>
      <c r="G9" s="271"/>
      <c r="H9" s="268"/>
      <c r="I9" s="268"/>
      <c r="J9" s="267"/>
      <c r="K9" s="267"/>
      <c r="L9" s="267"/>
      <c r="M9" s="268"/>
      <c r="N9" s="267"/>
      <c r="O9" s="269"/>
      <c r="P9" s="331"/>
      <c r="Q9" s="270">
        <f t="shared" si="1"/>
        <v>20</v>
      </c>
      <c r="R9" s="268">
        <f t="shared" si="2"/>
        <v>11.764705882352942</v>
      </c>
      <c r="S9" s="271"/>
      <c r="T9" s="271">
        <f t="shared" si="3"/>
        <v>3.2941176470588234</v>
      </c>
      <c r="U9" s="272">
        <f t="shared" si="4"/>
        <v>4.941176470588235</v>
      </c>
      <c r="V9" s="273"/>
      <c r="W9" s="273"/>
      <c r="X9" s="273"/>
      <c r="Y9" s="273"/>
      <c r="Z9" s="273"/>
      <c r="AA9" s="273"/>
    </row>
    <row r="10" spans="1:27" s="33" customFormat="1" ht="15.75">
      <c r="A10" s="266">
        <f t="shared" si="0"/>
        <v>5</v>
      </c>
      <c r="B10" s="267" t="s">
        <v>9</v>
      </c>
      <c r="C10" s="271"/>
      <c r="D10" s="271"/>
      <c r="E10" s="271"/>
      <c r="F10" s="268"/>
      <c r="G10" s="271"/>
      <c r="H10" s="268"/>
      <c r="I10" s="268"/>
      <c r="J10" s="267"/>
      <c r="K10" s="267"/>
      <c r="L10" s="267"/>
      <c r="M10" s="268"/>
      <c r="N10" s="267"/>
      <c r="O10" s="269"/>
      <c r="P10" s="331"/>
      <c r="Q10" s="270">
        <f t="shared" si="1"/>
        <v>0</v>
      </c>
      <c r="R10" s="268">
        <f t="shared" si="2"/>
        <v>0</v>
      </c>
      <c r="S10" s="271"/>
      <c r="T10" s="271">
        <f t="shared" si="3"/>
        <v>0</v>
      </c>
      <c r="U10" s="272">
        <f t="shared" si="4"/>
        <v>0</v>
      </c>
      <c r="V10" s="273"/>
      <c r="W10" s="273"/>
      <c r="X10" s="273"/>
      <c r="Y10" s="273"/>
      <c r="Z10" s="273"/>
      <c r="AA10" s="273"/>
    </row>
    <row r="11" spans="1:27" s="33" customFormat="1" ht="15.75">
      <c r="A11" s="266">
        <f t="shared" si="0"/>
        <v>6</v>
      </c>
      <c r="B11" s="267" t="s">
        <v>7</v>
      </c>
      <c r="C11" s="271"/>
      <c r="D11" s="271">
        <v>547.3</v>
      </c>
      <c r="E11" s="271">
        <f aca="true" t="shared" si="5" ref="E11:E17">SUM(C11:D11)</f>
        <v>547.3</v>
      </c>
      <c r="F11" s="268"/>
      <c r="G11" s="271"/>
      <c r="H11" s="268"/>
      <c r="I11" s="268"/>
      <c r="J11" s="267"/>
      <c r="K11" s="267"/>
      <c r="L11" s="267"/>
      <c r="M11" s="268"/>
      <c r="N11" s="267"/>
      <c r="O11" s="269"/>
      <c r="P11" s="331"/>
      <c r="Q11" s="270">
        <f t="shared" si="1"/>
        <v>547.3</v>
      </c>
      <c r="R11" s="268">
        <f t="shared" si="2"/>
        <v>321.94117647058823</v>
      </c>
      <c r="S11" s="271"/>
      <c r="T11" s="271">
        <f t="shared" si="3"/>
        <v>90.14352941176469</v>
      </c>
      <c r="U11" s="272">
        <f t="shared" si="4"/>
        <v>135.21529411764703</v>
      </c>
      <c r="V11" s="273"/>
      <c r="W11" s="273"/>
      <c r="X11" s="273"/>
      <c r="Y11" s="273"/>
      <c r="Z11" s="273"/>
      <c r="AA11" s="273"/>
    </row>
    <row r="12" spans="1:27" s="33" customFormat="1" ht="15.75">
      <c r="A12" s="266">
        <f t="shared" si="0"/>
        <v>7</v>
      </c>
      <c r="B12" s="267" t="s">
        <v>58</v>
      </c>
      <c r="C12" s="271">
        <v>10880.5</v>
      </c>
      <c r="D12" s="271"/>
      <c r="E12" s="271">
        <f t="shared" si="5"/>
        <v>10880.5</v>
      </c>
      <c r="F12" s="268"/>
      <c r="G12" s="271">
        <v>87744.5</v>
      </c>
      <c r="H12" s="268">
        <v>440</v>
      </c>
      <c r="I12" s="268">
        <v>402</v>
      </c>
      <c r="J12" s="268">
        <v>967</v>
      </c>
      <c r="K12" s="267">
        <v>37970</v>
      </c>
      <c r="L12" s="267">
        <v>4550</v>
      </c>
      <c r="M12" s="268">
        <f>8687+34902</f>
        <v>43589</v>
      </c>
      <c r="N12" s="267">
        <v>1920</v>
      </c>
      <c r="O12" s="269">
        <v>14480</v>
      </c>
      <c r="P12" s="331"/>
      <c r="Q12" s="270">
        <f t="shared" si="1"/>
        <v>202943</v>
      </c>
      <c r="R12" s="268">
        <f t="shared" si="2"/>
        <v>118248.82352941176</v>
      </c>
      <c r="S12" s="271"/>
      <c r="T12" s="271">
        <f t="shared" si="3"/>
        <v>33877.6705882353</v>
      </c>
      <c r="U12" s="272">
        <f t="shared" si="4"/>
        <v>50816.50588235294</v>
      </c>
      <c r="V12" s="273"/>
      <c r="W12" s="273"/>
      <c r="X12" s="273"/>
      <c r="Y12" s="273"/>
      <c r="Z12" s="273"/>
      <c r="AA12" s="273"/>
    </row>
    <row r="13" spans="1:27" s="33" customFormat="1" ht="15.75">
      <c r="A13" s="266">
        <f t="shared" si="0"/>
        <v>8</v>
      </c>
      <c r="B13" s="267" t="s">
        <v>1</v>
      </c>
      <c r="C13" s="271">
        <v>90481.4</v>
      </c>
      <c r="D13" s="271"/>
      <c r="E13" s="271">
        <f t="shared" si="5"/>
        <v>90481.4</v>
      </c>
      <c r="F13" s="268"/>
      <c r="G13" s="271">
        <v>114535.7</v>
      </c>
      <c r="H13" s="267"/>
      <c r="I13" s="268">
        <v>5400</v>
      </c>
      <c r="J13" s="268">
        <v>2761.7</v>
      </c>
      <c r="K13" s="267"/>
      <c r="L13" s="267">
        <v>22730</v>
      </c>
      <c r="M13" s="268">
        <f>661+11200</f>
        <v>11861</v>
      </c>
      <c r="N13" s="267">
        <v>5310</v>
      </c>
      <c r="O13" s="269">
        <v>58200</v>
      </c>
      <c r="P13" s="331"/>
      <c r="Q13" s="270">
        <f t="shared" si="1"/>
        <v>311279.8</v>
      </c>
      <c r="R13" s="268">
        <f>(E13+F13+G13+H13+I13+J13+K13+L13+M13+O13)/2</f>
        <v>152984.9</v>
      </c>
      <c r="S13" s="271"/>
      <c r="T13" s="271">
        <f t="shared" si="3"/>
        <v>63317.96</v>
      </c>
      <c r="U13" s="272">
        <f t="shared" si="4"/>
        <v>94976.93999999999</v>
      </c>
      <c r="V13" s="273"/>
      <c r="W13" s="273"/>
      <c r="X13" s="273"/>
      <c r="Y13" s="273"/>
      <c r="Z13" s="273"/>
      <c r="AA13" s="273"/>
    </row>
    <row r="14" spans="1:27" s="33" customFormat="1" ht="15.75">
      <c r="A14" s="266">
        <f t="shared" si="0"/>
        <v>9</v>
      </c>
      <c r="B14" s="267" t="s">
        <v>66</v>
      </c>
      <c r="C14" s="271">
        <v>4038.3</v>
      </c>
      <c r="D14" s="271"/>
      <c r="E14" s="271">
        <f t="shared" si="5"/>
        <v>4038.3</v>
      </c>
      <c r="F14" s="268"/>
      <c r="G14" s="271">
        <v>7244.5</v>
      </c>
      <c r="H14" s="267"/>
      <c r="I14" s="268"/>
      <c r="J14" s="268"/>
      <c r="K14" s="267"/>
      <c r="L14" s="267"/>
      <c r="M14" s="267"/>
      <c r="N14" s="267">
        <v>1828</v>
      </c>
      <c r="O14" s="269">
        <v>5960</v>
      </c>
      <c r="P14" s="331"/>
      <c r="Q14" s="270">
        <f t="shared" si="1"/>
        <v>19070.8</v>
      </c>
      <c r="R14" s="268">
        <f t="shared" si="2"/>
        <v>10142.823529411764</v>
      </c>
      <c r="S14" s="271"/>
      <c r="T14" s="271">
        <f t="shared" si="3"/>
        <v>3571.1905882352944</v>
      </c>
      <c r="U14" s="272">
        <f t="shared" si="4"/>
        <v>5356.785882352941</v>
      </c>
      <c r="V14" s="273"/>
      <c r="W14" s="273"/>
      <c r="X14" s="273"/>
      <c r="Y14" s="273"/>
      <c r="Z14" s="273"/>
      <c r="AA14" s="273"/>
    </row>
    <row r="15" spans="1:27" s="33" customFormat="1" ht="15.75">
      <c r="A15" s="266">
        <f t="shared" si="0"/>
        <v>10</v>
      </c>
      <c r="B15" s="267" t="s">
        <v>5</v>
      </c>
      <c r="C15" s="271">
        <v>1523.2</v>
      </c>
      <c r="D15" s="271">
        <v>13980.5</v>
      </c>
      <c r="E15" s="271">
        <f t="shared" si="5"/>
        <v>15503.7</v>
      </c>
      <c r="F15" s="268"/>
      <c r="G15" s="271">
        <v>6127.5</v>
      </c>
      <c r="H15" s="267"/>
      <c r="I15" s="268"/>
      <c r="J15" s="268"/>
      <c r="K15" s="267"/>
      <c r="L15" s="267"/>
      <c r="M15" s="267"/>
      <c r="N15" s="267">
        <v>345</v>
      </c>
      <c r="O15" s="269">
        <v>4360</v>
      </c>
      <c r="P15" s="331"/>
      <c r="Q15" s="270">
        <f t="shared" si="1"/>
        <v>26336.2</v>
      </c>
      <c r="R15" s="268">
        <f t="shared" si="2"/>
        <v>15288.94117647059</v>
      </c>
      <c r="S15" s="271"/>
      <c r="T15" s="271">
        <f t="shared" si="3"/>
        <v>4418.903529411765</v>
      </c>
      <c r="U15" s="272">
        <f t="shared" si="4"/>
        <v>6628.355294117647</v>
      </c>
      <c r="V15" s="273"/>
      <c r="W15" s="273"/>
      <c r="X15" s="273"/>
      <c r="Y15" s="273"/>
      <c r="Z15" s="273"/>
      <c r="AA15" s="273"/>
    </row>
    <row r="16" spans="1:27" s="33" customFormat="1" ht="15.75">
      <c r="A16" s="266">
        <f t="shared" si="0"/>
        <v>11</v>
      </c>
      <c r="B16" s="267" t="s">
        <v>4</v>
      </c>
      <c r="C16" s="271">
        <v>4686.7</v>
      </c>
      <c r="D16" s="271">
        <v>443.4</v>
      </c>
      <c r="E16" s="271">
        <f t="shared" si="5"/>
        <v>5130.099999999999</v>
      </c>
      <c r="F16" s="268"/>
      <c r="G16" s="271">
        <v>6433.5</v>
      </c>
      <c r="H16" s="267"/>
      <c r="I16" s="268">
        <v>5200</v>
      </c>
      <c r="J16" s="268">
        <v>930</v>
      </c>
      <c r="K16" s="267">
        <v>2730</v>
      </c>
      <c r="L16" s="267">
        <v>800</v>
      </c>
      <c r="M16" s="267"/>
      <c r="N16" s="267">
        <v>1171</v>
      </c>
      <c r="O16" s="269">
        <v>14760</v>
      </c>
      <c r="P16" s="331"/>
      <c r="Q16" s="270">
        <f t="shared" si="1"/>
        <v>37154.6</v>
      </c>
      <c r="R16" s="268">
        <f t="shared" si="2"/>
        <v>21166.823529411766</v>
      </c>
      <c r="S16" s="271"/>
      <c r="T16" s="271">
        <f t="shared" si="3"/>
        <v>6395.110588235293</v>
      </c>
      <c r="U16" s="272">
        <f t="shared" si="4"/>
        <v>9592.66588235294</v>
      </c>
      <c r="V16" s="273"/>
      <c r="W16" s="273"/>
      <c r="X16" s="273"/>
      <c r="Y16" s="273"/>
      <c r="Z16" s="273"/>
      <c r="AA16" s="273"/>
    </row>
    <row r="17" spans="1:27" s="33" customFormat="1" ht="15.75">
      <c r="A17" s="266">
        <f t="shared" si="0"/>
        <v>12</v>
      </c>
      <c r="B17" s="267" t="s">
        <v>27</v>
      </c>
      <c r="C17" s="271"/>
      <c r="D17" s="271">
        <v>2183.9</v>
      </c>
      <c r="E17" s="271">
        <f t="shared" si="5"/>
        <v>2183.9</v>
      </c>
      <c r="F17" s="268"/>
      <c r="G17" s="271"/>
      <c r="H17" s="267"/>
      <c r="I17" s="268"/>
      <c r="J17" s="268"/>
      <c r="K17" s="267"/>
      <c r="L17" s="267"/>
      <c r="M17" s="267"/>
      <c r="N17" s="267"/>
      <c r="O17" s="269"/>
      <c r="P17" s="331"/>
      <c r="Q17" s="270">
        <f t="shared" si="1"/>
        <v>2183.9</v>
      </c>
      <c r="R17" s="268">
        <f t="shared" si="2"/>
        <v>1284.6470588235295</v>
      </c>
      <c r="S17" s="271"/>
      <c r="T17" s="271">
        <f t="shared" si="3"/>
        <v>359.7011764705883</v>
      </c>
      <c r="U17" s="272">
        <f t="shared" si="4"/>
        <v>539.5517647058823</v>
      </c>
      <c r="V17" s="273"/>
      <c r="W17" s="273"/>
      <c r="X17" s="273"/>
      <c r="Y17" s="273"/>
      <c r="Z17" s="273"/>
      <c r="AA17" s="273"/>
    </row>
    <row r="18" spans="1:27" s="33" customFormat="1" ht="15.75">
      <c r="A18" s="266">
        <f t="shared" si="0"/>
        <v>13</v>
      </c>
      <c r="B18" s="267" t="s">
        <v>10</v>
      </c>
      <c r="C18" s="267"/>
      <c r="D18" s="267"/>
      <c r="E18" s="268"/>
      <c r="F18" s="268"/>
      <c r="G18" s="271">
        <v>27428.9</v>
      </c>
      <c r="H18" s="267"/>
      <c r="I18" s="268">
        <v>900</v>
      </c>
      <c r="J18" s="268"/>
      <c r="K18" s="267">
        <v>16000</v>
      </c>
      <c r="L18" s="267"/>
      <c r="M18" s="267">
        <f>6665.7*2</f>
        <v>13331.4</v>
      </c>
      <c r="N18" s="267">
        <v>185</v>
      </c>
      <c r="O18" s="269">
        <v>25520</v>
      </c>
      <c r="P18" s="331"/>
      <c r="Q18" s="270">
        <f t="shared" si="1"/>
        <v>83365.3</v>
      </c>
      <c r="R18" s="268">
        <f t="shared" si="2"/>
        <v>48929.58823529412</v>
      </c>
      <c r="S18" s="271"/>
      <c r="T18" s="271">
        <f t="shared" si="3"/>
        <v>13774.284705882354</v>
      </c>
      <c r="U18" s="272">
        <f t="shared" si="4"/>
        <v>20661.42705882353</v>
      </c>
      <c r="V18" s="273"/>
      <c r="W18" s="273"/>
      <c r="X18" s="273"/>
      <c r="Y18" s="273"/>
      <c r="Z18" s="273"/>
      <c r="AA18" s="273"/>
    </row>
    <row r="19" spans="1:27" s="33" customFormat="1" ht="16.5" thickBot="1">
      <c r="A19" s="274">
        <f t="shared" si="0"/>
        <v>14</v>
      </c>
      <c r="B19" s="275" t="s">
        <v>35</v>
      </c>
      <c r="C19" s="275"/>
      <c r="D19" s="275"/>
      <c r="E19" s="276"/>
      <c r="F19" s="276"/>
      <c r="G19" s="275"/>
      <c r="H19" s="275"/>
      <c r="I19" s="275"/>
      <c r="J19" s="275"/>
      <c r="K19" s="275"/>
      <c r="L19" s="275">
        <v>9100</v>
      </c>
      <c r="M19" s="275"/>
      <c r="N19" s="275">
        <v>356.2</v>
      </c>
      <c r="O19" s="277"/>
      <c r="P19" s="332"/>
      <c r="Q19" s="278">
        <f t="shared" si="1"/>
        <v>9456.2</v>
      </c>
      <c r="R19" s="276">
        <f t="shared" si="2"/>
        <v>5352.941176470588</v>
      </c>
      <c r="S19" s="279"/>
      <c r="T19" s="279">
        <f t="shared" si="3"/>
        <v>1641.303529411765</v>
      </c>
      <c r="U19" s="280">
        <f t="shared" si="4"/>
        <v>2461.9552941176476</v>
      </c>
      <c r="V19" s="273"/>
      <c r="W19" s="273"/>
      <c r="X19" s="273"/>
      <c r="Y19" s="273"/>
      <c r="Z19" s="273"/>
      <c r="AA19" s="273"/>
    </row>
    <row r="20" spans="1:27" s="171" customFormat="1" ht="27" thickBot="1">
      <c r="A20" s="414"/>
      <c r="B20" s="281" t="s">
        <v>105</v>
      </c>
      <c r="C20" s="282"/>
      <c r="D20" s="282"/>
      <c r="E20" s="283">
        <f>SUM(E6:E19)</f>
        <v>133287.3</v>
      </c>
      <c r="F20" s="283">
        <f>SUM(F6:F19)</f>
        <v>0</v>
      </c>
      <c r="G20" s="283">
        <f>SUM(G6:G19)</f>
        <v>303940.60000000003</v>
      </c>
      <c r="H20" s="283">
        <f aca="true" t="shared" si="6" ref="H20:U20">SUM(H6:H19)</f>
        <v>3310</v>
      </c>
      <c r="I20" s="283">
        <f t="shared" si="6"/>
        <v>14202</v>
      </c>
      <c r="J20" s="283">
        <f t="shared" si="6"/>
        <v>4658.7</v>
      </c>
      <c r="K20" s="283">
        <f t="shared" si="6"/>
        <v>56700</v>
      </c>
      <c r="L20" s="283">
        <f t="shared" si="6"/>
        <v>37180</v>
      </c>
      <c r="M20" s="283">
        <f t="shared" si="6"/>
        <v>82398.59999999999</v>
      </c>
      <c r="N20" s="283">
        <f t="shared" si="6"/>
        <v>22637.3</v>
      </c>
      <c r="O20" s="283">
        <f t="shared" si="6"/>
        <v>158960</v>
      </c>
      <c r="P20" s="284"/>
      <c r="Q20" s="284">
        <f t="shared" si="6"/>
        <v>817274.5</v>
      </c>
      <c r="R20" s="284">
        <f t="shared" si="6"/>
        <v>440436.31176470587</v>
      </c>
      <c r="S20" s="284">
        <f t="shared" si="6"/>
        <v>0</v>
      </c>
      <c r="T20" s="284">
        <f t="shared" si="6"/>
        <v>150735.27529411766</v>
      </c>
      <c r="U20" s="285">
        <f t="shared" si="6"/>
        <v>226102.91294117644</v>
      </c>
      <c r="V20" s="286"/>
      <c r="W20" s="286"/>
      <c r="X20" s="286"/>
      <c r="Y20" s="286"/>
      <c r="Z20" s="286"/>
      <c r="AA20" s="286"/>
    </row>
    <row r="21" spans="1:27" s="171" customFormat="1" ht="26.25">
      <c r="A21" s="415"/>
      <c r="B21" s="287" t="s">
        <v>53</v>
      </c>
      <c r="C21" s="288"/>
      <c r="D21" s="288"/>
      <c r="E21" s="289">
        <f>((E19+E18+E17+E16+E15+E14+E12+E11+E10+E9+E8+E7+E6)/1.7)+(E13/2)</f>
        <v>70420.64117647058</v>
      </c>
      <c r="F21" s="289">
        <f aca="true" t="shared" si="7" ref="F21:O21">((F19+F18+F17+F16+F15+F14+F12+F11+F10+F9+F8+F7+F6)/1.7)+(F13/2)</f>
        <v>0</v>
      </c>
      <c r="G21" s="289">
        <f t="shared" si="7"/>
        <v>168682.49705882353</v>
      </c>
      <c r="H21" s="289">
        <f t="shared" si="7"/>
        <v>1947.0588235294117</v>
      </c>
      <c r="I21" s="289">
        <f t="shared" si="7"/>
        <v>7877.64705882353</v>
      </c>
      <c r="J21" s="289">
        <f t="shared" si="7"/>
        <v>2496.7323529411765</v>
      </c>
      <c r="K21" s="289">
        <f t="shared" si="7"/>
        <v>33352.94117647059</v>
      </c>
      <c r="L21" s="289">
        <f t="shared" si="7"/>
        <v>19865</v>
      </c>
      <c r="M21" s="289">
        <f t="shared" si="7"/>
        <v>47423.205882352944</v>
      </c>
      <c r="N21" s="289"/>
      <c r="O21" s="290">
        <f t="shared" si="7"/>
        <v>88370.58823529413</v>
      </c>
      <c r="P21" s="333"/>
      <c r="Q21" s="381"/>
      <c r="R21" s="382"/>
      <c r="S21" s="382"/>
      <c r="T21" s="382"/>
      <c r="U21" s="383"/>
      <c r="V21" s="286"/>
      <c r="W21" s="286"/>
      <c r="X21" s="286"/>
      <c r="Y21" s="286"/>
      <c r="Z21" s="286"/>
      <c r="AA21" s="286"/>
    </row>
    <row r="22" spans="1:27" s="171" customFormat="1" ht="26.25">
      <c r="A22" s="415"/>
      <c r="B22" s="291" t="s">
        <v>96</v>
      </c>
      <c r="C22" s="288"/>
      <c r="D22" s="288"/>
      <c r="E22" s="289"/>
      <c r="F22" s="289"/>
      <c r="G22" s="288"/>
      <c r="H22" s="288"/>
      <c r="I22" s="288"/>
      <c r="J22" s="288"/>
      <c r="K22" s="288"/>
      <c r="L22" s="288"/>
      <c r="M22" s="288"/>
      <c r="N22" s="288"/>
      <c r="O22" s="292"/>
      <c r="P22" s="334"/>
      <c r="Q22" s="377"/>
      <c r="R22" s="378"/>
      <c r="S22" s="378"/>
      <c r="T22" s="378"/>
      <c r="U22" s="374"/>
      <c r="V22" s="286"/>
      <c r="W22" s="286"/>
      <c r="X22" s="286"/>
      <c r="Y22" s="286"/>
      <c r="Z22" s="286"/>
      <c r="AA22" s="286"/>
    </row>
    <row r="23" spans="1:27" s="171" customFormat="1" ht="26.25">
      <c r="A23" s="415"/>
      <c r="B23" s="291" t="s">
        <v>55</v>
      </c>
      <c r="C23" s="288"/>
      <c r="D23" s="288"/>
      <c r="E23" s="289">
        <f>(E20-E21)*0.4</f>
        <v>25146.663529411762</v>
      </c>
      <c r="F23" s="289">
        <f aca="true" t="shared" si="8" ref="F23:O23">(F20-F21)*0.4</f>
        <v>0</v>
      </c>
      <c r="G23" s="289">
        <f t="shared" si="8"/>
        <v>54103.241176470605</v>
      </c>
      <c r="H23" s="289">
        <f t="shared" si="8"/>
        <v>545.1764705882354</v>
      </c>
      <c r="I23" s="289">
        <f t="shared" si="8"/>
        <v>2529.7411764705885</v>
      </c>
      <c r="J23" s="289">
        <f t="shared" si="8"/>
        <v>864.7870588235294</v>
      </c>
      <c r="K23" s="289">
        <f t="shared" si="8"/>
        <v>9338.823529411766</v>
      </c>
      <c r="L23" s="289">
        <f t="shared" si="8"/>
        <v>6926</v>
      </c>
      <c r="M23" s="289">
        <f t="shared" si="8"/>
        <v>13990.157647058819</v>
      </c>
      <c r="N23" s="289">
        <f>N20*0.4</f>
        <v>9054.92</v>
      </c>
      <c r="O23" s="290">
        <f t="shared" si="8"/>
        <v>28235.76470588235</v>
      </c>
      <c r="P23" s="333"/>
      <c r="Q23" s="377"/>
      <c r="R23" s="378"/>
      <c r="S23" s="378"/>
      <c r="T23" s="378"/>
      <c r="U23" s="374"/>
      <c r="V23" s="286"/>
      <c r="W23" s="286"/>
      <c r="X23" s="286"/>
      <c r="Y23" s="286"/>
      <c r="Z23" s="286"/>
      <c r="AA23" s="286"/>
    </row>
    <row r="24" spans="1:27" s="171" customFormat="1" ht="16.5" thickBot="1">
      <c r="A24" s="416"/>
      <c r="B24" s="293" t="s">
        <v>104</v>
      </c>
      <c r="C24" s="294"/>
      <c r="D24" s="294"/>
      <c r="E24" s="295">
        <f>(E20-E21)*0.6</f>
        <v>37719.99529411764</v>
      </c>
      <c r="F24" s="295">
        <f aca="true" t="shared" si="9" ref="F24:O24">(F20-F21)*0.6</f>
        <v>0</v>
      </c>
      <c r="G24" s="295">
        <f t="shared" si="9"/>
        <v>81154.8617647059</v>
      </c>
      <c r="H24" s="295">
        <f t="shared" si="9"/>
        <v>817.7647058823529</v>
      </c>
      <c r="I24" s="295">
        <f t="shared" si="9"/>
        <v>3794.611764705882</v>
      </c>
      <c r="J24" s="295">
        <f t="shared" si="9"/>
        <v>1297.180588235294</v>
      </c>
      <c r="K24" s="295">
        <f t="shared" si="9"/>
        <v>14008.235294117647</v>
      </c>
      <c r="L24" s="295">
        <f t="shared" si="9"/>
        <v>10389</v>
      </c>
      <c r="M24" s="295">
        <f t="shared" si="9"/>
        <v>20985.23647058823</v>
      </c>
      <c r="N24" s="295">
        <f>N20*0.6</f>
        <v>13582.38</v>
      </c>
      <c r="O24" s="296">
        <f t="shared" si="9"/>
        <v>42353.647058823524</v>
      </c>
      <c r="P24" s="335"/>
      <c r="Q24" s="375"/>
      <c r="R24" s="376"/>
      <c r="S24" s="376"/>
      <c r="T24" s="376"/>
      <c r="U24" s="409"/>
      <c r="V24" s="286"/>
      <c r="W24" s="286"/>
      <c r="X24" s="286"/>
      <c r="Y24" s="286"/>
      <c r="Z24" s="286"/>
      <c r="AA24" s="286"/>
    </row>
    <row r="25" spans="1:27" s="33" customFormat="1" ht="15.75">
      <c r="A25" s="266"/>
      <c r="B25" s="288" t="s">
        <v>13</v>
      </c>
      <c r="C25" s="268"/>
      <c r="D25" s="267"/>
      <c r="E25" s="268"/>
      <c r="F25" s="268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8">
        <f t="shared" si="1"/>
        <v>0</v>
      </c>
      <c r="R25" s="268">
        <f t="shared" si="2"/>
        <v>0</v>
      </c>
      <c r="S25" s="271"/>
      <c r="T25" s="271">
        <f t="shared" si="3"/>
        <v>0</v>
      </c>
      <c r="U25" s="272">
        <f t="shared" si="4"/>
        <v>0</v>
      </c>
      <c r="V25" s="273"/>
      <c r="W25" s="273"/>
      <c r="X25" s="273"/>
      <c r="Y25" s="273"/>
      <c r="Z25" s="273"/>
      <c r="AA25" s="273"/>
    </row>
    <row r="26" spans="1:27" s="33" customFormat="1" ht="17.25" customHeight="1">
      <c r="A26" s="266">
        <f aca="true" t="shared" si="10" ref="A26:A39">A25+1</f>
        <v>1</v>
      </c>
      <c r="B26" s="267" t="s">
        <v>14</v>
      </c>
      <c r="C26" s="267"/>
      <c r="D26" s="267"/>
      <c r="E26" s="268"/>
      <c r="F26" s="268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8">
        <f t="shared" si="1"/>
        <v>0</v>
      </c>
      <c r="R26" s="268">
        <f>(E26+F26+G26+H26+I26+J26+K26+L26+M26+O26)/1.2</f>
        <v>0</v>
      </c>
      <c r="S26" s="271"/>
      <c r="T26" s="271">
        <f t="shared" si="3"/>
        <v>0</v>
      </c>
      <c r="U26" s="272">
        <f t="shared" si="4"/>
        <v>0</v>
      </c>
      <c r="V26" s="273"/>
      <c r="W26" s="273"/>
      <c r="X26" s="273"/>
      <c r="Y26" s="273"/>
      <c r="Z26" s="273"/>
      <c r="AA26" s="273"/>
    </row>
    <row r="27" spans="1:27" s="33" customFormat="1" ht="15.75">
      <c r="A27" s="266">
        <f t="shared" si="10"/>
        <v>2</v>
      </c>
      <c r="B27" s="297" t="s">
        <v>34</v>
      </c>
      <c r="C27" s="271">
        <v>47.7</v>
      </c>
      <c r="D27" s="271"/>
      <c r="E27" s="271">
        <f>SUM(C27:D27)</f>
        <v>47.7</v>
      </c>
      <c r="F27" s="268"/>
      <c r="G27" s="267">
        <v>727.1</v>
      </c>
      <c r="H27" s="267"/>
      <c r="I27" s="267"/>
      <c r="J27" s="267"/>
      <c r="K27" s="267"/>
      <c r="L27" s="267"/>
      <c r="M27" s="267"/>
      <c r="N27" s="267">
        <v>68.7</v>
      </c>
      <c r="O27" s="267"/>
      <c r="P27" s="267"/>
      <c r="Q27" s="268">
        <f t="shared" si="1"/>
        <v>843.5000000000001</v>
      </c>
      <c r="R27" s="268">
        <f>(E27+F27+G27+H27+I27+J27+K27+L27+M27+O27)/1.2</f>
        <v>645.6666666666667</v>
      </c>
      <c r="S27" s="271"/>
      <c r="T27" s="271">
        <f t="shared" si="3"/>
        <v>79.13333333333335</v>
      </c>
      <c r="U27" s="272">
        <f t="shared" si="4"/>
        <v>118.70000000000002</v>
      </c>
      <c r="V27" s="273"/>
      <c r="W27" s="273"/>
      <c r="X27" s="273"/>
      <c r="Y27" s="273"/>
      <c r="Z27" s="273"/>
      <c r="AA27" s="273"/>
    </row>
    <row r="28" spans="1:21" ht="15.75">
      <c r="A28" s="266">
        <f t="shared" si="10"/>
        <v>3</v>
      </c>
      <c r="B28" s="297" t="s">
        <v>16</v>
      </c>
      <c r="C28" s="328"/>
      <c r="D28" s="328">
        <v>624.7</v>
      </c>
      <c r="E28" s="271">
        <f>SUM(C28:D28)</f>
        <v>624.7</v>
      </c>
      <c r="F28" s="268"/>
      <c r="G28" s="297"/>
      <c r="H28" s="267"/>
      <c r="I28" s="297"/>
      <c r="J28" s="297"/>
      <c r="K28" s="297"/>
      <c r="L28" s="297"/>
      <c r="M28" s="297"/>
      <c r="N28" s="297"/>
      <c r="O28" s="297"/>
      <c r="P28" s="297"/>
      <c r="Q28" s="268">
        <f t="shared" si="1"/>
        <v>624.7</v>
      </c>
      <c r="R28" s="268">
        <f aca="true" t="shared" si="11" ref="R28:R39">(E28+F28+G28+H28+I28+J28+K28+L28+M28+O28)/1.2</f>
        <v>520.5833333333334</v>
      </c>
      <c r="S28" s="271"/>
      <c r="T28" s="271">
        <f t="shared" si="3"/>
        <v>41.646666666666675</v>
      </c>
      <c r="U28" s="272">
        <f t="shared" si="4"/>
        <v>62.47</v>
      </c>
    </row>
    <row r="29" spans="1:21" ht="15.75">
      <c r="A29" s="266">
        <f t="shared" si="10"/>
        <v>4</v>
      </c>
      <c r="B29" s="297" t="s">
        <v>28</v>
      </c>
      <c r="C29" s="328"/>
      <c r="D29" s="328">
        <v>1045.2</v>
      </c>
      <c r="E29" s="271">
        <f>SUM(C29:D29)</f>
        <v>1045.2</v>
      </c>
      <c r="F29" s="268"/>
      <c r="G29" s="297"/>
      <c r="H29" s="267"/>
      <c r="I29" s="297"/>
      <c r="J29" s="297"/>
      <c r="K29" s="297"/>
      <c r="L29" s="297"/>
      <c r="M29" s="297"/>
      <c r="N29" s="297"/>
      <c r="O29" s="297"/>
      <c r="P29" s="297"/>
      <c r="Q29" s="268">
        <f t="shared" si="1"/>
        <v>1045.2</v>
      </c>
      <c r="R29" s="268">
        <f t="shared" si="11"/>
        <v>871.0000000000001</v>
      </c>
      <c r="S29" s="271"/>
      <c r="T29" s="271">
        <f t="shared" si="3"/>
        <v>69.67999999999998</v>
      </c>
      <c r="U29" s="272">
        <f t="shared" si="4"/>
        <v>104.51999999999995</v>
      </c>
    </row>
    <row r="30" spans="1:27" s="33" customFormat="1" ht="15.75">
      <c r="A30" s="266">
        <f t="shared" si="10"/>
        <v>5</v>
      </c>
      <c r="B30" s="267" t="s">
        <v>15</v>
      </c>
      <c r="C30" s="271">
        <v>2035.7</v>
      </c>
      <c r="D30" s="271"/>
      <c r="E30" s="271">
        <f>SUM(C30:D30)</f>
        <v>2035.7</v>
      </c>
      <c r="F30" s="268"/>
      <c r="G30" s="267">
        <v>343.7</v>
      </c>
      <c r="H30" s="267"/>
      <c r="I30" s="267"/>
      <c r="J30" s="267"/>
      <c r="K30" s="267"/>
      <c r="L30" s="267"/>
      <c r="M30" s="267"/>
      <c r="N30" s="267">
        <v>419.3</v>
      </c>
      <c r="O30" s="267">
        <v>2800</v>
      </c>
      <c r="P30" s="267"/>
      <c r="Q30" s="268">
        <f t="shared" si="1"/>
        <v>5598.700000000001</v>
      </c>
      <c r="R30" s="268">
        <f t="shared" si="11"/>
        <v>4316.166666666667</v>
      </c>
      <c r="S30" s="271"/>
      <c r="T30" s="271">
        <f t="shared" si="3"/>
        <v>513.0133333333335</v>
      </c>
      <c r="U30" s="272">
        <f t="shared" si="4"/>
        <v>769.5200000000002</v>
      </c>
      <c r="V30" s="273"/>
      <c r="W30" s="273"/>
      <c r="X30" s="273"/>
      <c r="Y30" s="273"/>
      <c r="Z30" s="273"/>
      <c r="AA30" s="273"/>
    </row>
    <row r="31" spans="1:27" s="33" customFormat="1" ht="15.75">
      <c r="A31" s="266">
        <f t="shared" si="10"/>
        <v>6</v>
      </c>
      <c r="B31" s="267" t="s">
        <v>31</v>
      </c>
      <c r="C31" s="271"/>
      <c r="D31" s="271">
        <v>612.7</v>
      </c>
      <c r="E31" s="271">
        <f>SUM(C31:D31)</f>
        <v>612.7</v>
      </c>
      <c r="F31" s="268"/>
      <c r="G31" s="267"/>
      <c r="H31" s="267"/>
      <c r="I31" s="267"/>
      <c r="J31" s="267"/>
      <c r="K31" s="267"/>
      <c r="L31" s="267"/>
      <c r="M31" s="267"/>
      <c r="N31" s="267">
        <v>82</v>
      </c>
      <c r="O31" s="267"/>
      <c r="P31" s="267"/>
      <c r="Q31" s="268">
        <f t="shared" si="1"/>
        <v>694.7</v>
      </c>
      <c r="R31" s="268">
        <f t="shared" si="11"/>
        <v>510.58333333333337</v>
      </c>
      <c r="S31" s="271"/>
      <c r="T31" s="271">
        <f t="shared" si="3"/>
        <v>73.64666666666668</v>
      </c>
      <c r="U31" s="272">
        <f t="shared" si="4"/>
        <v>110.47</v>
      </c>
      <c r="V31" s="273"/>
      <c r="W31" s="273"/>
      <c r="X31" s="273"/>
      <c r="Y31" s="273"/>
      <c r="Z31" s="273"/>
      <c r="AA31" s="273"/>
    </row>
    <row r="32" spans="1:21" ht="15.75">
      <c r="A32" s="266">
        <f t="shared" si="10"/>
        <v>7</v>
      </c>
      <c r="B32" s="297" t="s">
        <v>59</v>
      </c>
      <c r="C32" s="328"/>
      <c r="D32" s="328"/>
      <c r="E32" s="271"/>
      <c r="F32" s="268"/>
      <c r="G32" s="297"/>
      <c r="H32" s="267"/>
      <c r="I32" s="297"/>
      <c r="J32" s="297"/>
      <c r="K32" s="297"/>
      <c r="L32" s="297"/>
      <c r="M32" s="297"/>
      <c r="N32" s="297"/>
      <c r="O32" s="297"/>
      <c r="P32" s="297"/>
      <c r="Q32" s="268">
        <f t="shared" si="1"/>
        <v>0</v>
      </c>
      <c r="R32" s="268">
        <f t="shared" si="11"/>
        <v>0</v>
      </c>
      <c r="S32" s="271"/>
      <c r="T32" s="271">
        <f t="shared" si="3"/>
        <v>0</v>
      </c>
      <c r="U32" s="272">
        <f t="shared" si="4"/>
        <v>0</v>
      </c>
    </row>
    <row r="33" spans="1:21" ht="15.75">
      <c r="A33" s="266">
        <f t="shared" si="10"/>
        <v>8</v>
      </c>
      <c r="B33" s="297" t="s">
        <v>29</v>
      </c>
      <c r="C33" s="328"/>
      <c r="D33" s="328">
        <v>352.9</v>
      </c>
      <c r="E33" s="271">
        <f>SUM(C33:D33)</f>
        <v>352.9</v>
      </c>
      <c r="F33" s="268"/>
      <c r="G33" s="297"/>
      <c r="H33" s="267"/>
      <c r="I33" s="297"/>
      <c r="J33" s="297"/>
      <c r="K33" s="297"/>
      <c r="L33" s="297"/>
      <c r="M33" s="297"/>
      <c r="N33" s="297"/>
      <c r="O33" s="297"/>
      <c r="P33" s="297"/>
      <c r="Q33" s="268">
        <f t="shared" si="1"/>
        <v>352.9</v>
      </c>
      <c r="R33" s="268">
        <f t="shared" si="11"/>
        <v>294.0833333333333</v>
      </c>
      <c r="S33" s="271"/>
      <c r="T33" s="271">
        <f t="shared" si="3"/>
        <v>23.526666666666667</v>
      </c>
      <c r="U33" s="272">
        <f t="shared" si="4"/>
        <v>35.29</v>
      </c>
    </row>
    <row r="34" spans="1:21" ht="15.75">
      <c r="A34" s="266">
        <f t="shared" si="10"/>
        <v>9</v>
      </c>
      <c r="B34" s="297" t="s">
        <v>41</v>
      </c>
      <c r="C34" s="328"/>
      <c r="D34" s="328"/>
      <c r="E34" s="271"/>
      <c r="F34" s="268"/>
      <c r="G34" s="297"/>
      <c r="H34" s="267"/>
      <c r="I34" s="297"/>
      <c r="J34" s="297"/>
      <c r="K34" s="297"/>
      <c r="L34" s="297"/>
      <c r="M34" s="297"/>
      <c r="N34" s="297"/>
      <c r="O34" s="297"/>
      <c r="P34" s="297"/>
      <c r="Q34" s="268">
        <f t="shared" si="1"/>
        <v>0</v>
      </c>
      <c r="R34" s="268">
        <f t="shared" si="11"/>
        <v>0</v>
      </c>
      <c r="S34" s="271"/>
      <c r="T34" s="271">
        <f t="shared" si="3"/>
        <v>0</v>
      </c>
      <c r="U34" s="272">
        <f t="shared" si="4"/>
        <v>0</v>
      </c>
    </row>
    <row r="35" spans="1:21" ht="15.75">
      <c r="A35" s="266">
        <f t="shared" si="10"/>
        <v>10</v>
      </c>
      <c r="B35" s="297" t="s">
        <v>32</v>
      </c>
      <c r="C35" s="328">
        <v>1053.8</v>
      </c>
      <c r="D35" s="328">
        <v>17.6</v>
      </c>
      <c r="E35" s="271">
        <f>SUM(C35:D35)</f>
        <v>1071.3999999999999</v>
      </c>
      <c r="F35" s="268"/>
      <c r="G35" s="297"/>
      <c r="H35" s="267"/>
      <c r="I35" s="297"/>
      <c r="J35" s="297"/>
      <c r="K35" s="297"/>
      <c r="L35" s="297"/>
      <c r="M35" s="297"/>
      <c r="N35" s="297">
        <v>574</v>
      </c>
      <c r="O35" s="297"/>
      <c r="P35" s="297"/>
      <c r="Q35" s="268">
        <f t="shared" si="1"/>
        <v>1645.3999999999999</v>
      </c>
      <c r="R35" s="268">
        <f t="shared" si="11"/>
        <v>892.8333333333333</v>
      </c>
      <c r="S35" s="271"/>
      <c r="T35" s="271">
        <f t="shared" si="3"/>
        <v>301.02666666666664</v>
      </c>
      <c r="U35" s="272">
        <f t="shared" si="4"/>
        <v>451.53999999999996</v>
      </c>
    </row>
    <row r="36" spans="1:21" ht="15.75">
      <c r="A36" s="266">
        <f t="shared" si="10"/>
        <v>11</v>
      </c>
      <c r="B36" s="297" t="s">
        <v>42</v>
      </c>
      <c r="C36" s="328"/>
      <c r="D36" s="328"/>
      <c r="E36" s="271"/>
      <c r="F36" s="268"/>
      <c r="G36" s="297"/>
      <c r="H36" s="267"/>
      <c r="I36" s="297"/>
      <c r="J36" s="297"/>
      <c r="K36" s="297"/>
      <c r="L36" s="297"/>
      <c r="M36" s="297"/>
      <c r="N36" s="297"/>
      <c r="O36" s="297"/>
      <c r="P36" s="297"/>
      <c r="Q36" s="268">
        <f t="shared" si="1"/>
        <v>0</v>
      </c>
      <c r="R36" s="268">
        <f t="shared" si="11"/>
        <v>0</v>
      </c>
      <c r="S36" s="271"/>
      <c r="T36" s="271">
        <f t="shared" si="3"/>
        <v>0</v>
      </c>
      <c r="U36" s="272">
        <f t="shared" si="4"/>
        <v>0</v>
      </c>
    </row>
    <row r="37" spans="1:21" ht="15.75">
      <c r="A37" s="266">
        <f t="shared" si="10"/>
        <v>12</v>
      </c>
      <c r="B37" s="298" t="s">
        <v>79</v>
      </c>
      <c r="C37" s="299"/>
      <c r="D37" s="299"/>
      <c r="E37" s="300"/>
      <c r="F37" s="268"/>
      <c r="G37" s="297"/>
      <c r="H37" s="267"/>
      <c r="I37" s="297"/>
      <c r="J37" s="297"/>
      <c r="K37" s="297"/>
      <c r="L37" s="297"/>
      <c r="M37" s="297"/>
      <c r="N37" s="297"/>
      <c r="O37" s="297"/>
      <c r="P37" s="297"/>
      <c r="Q37" s="268">
        <f t="shared" si="1"/>
        <v>0</v>
      </c>
      <c r="R37" s="268">
        <f t="shared" si="11"/>
        <v>0</v>
      </c>
      <c r="S37" s="271"/>
      <c r="T37" s="271">
        <f t="shared" si="3"/>
        <v>0</v>
      </c>
      <c r="U37" s="272">
        <f t="shared" si="4"/>
        <v>0</v>
      </c>
    </row>
    <row r="38" spans="1:21" ht="15.75">
      <c r="A38" s="266">
        <f t="shared" si="10"/>
        <v>13</v>
      </c>
      <c r="B38" s="297" t="s">
        <v>45</v>
      </c>
      <c r="C38" s="297"/>
      <c r="D38" s="297"/>
      <c r="E38" s="268"/>
      <c r="F38" s="268"/>
      <c r="G38" s="297">
        <v>581.2</v>
      </c>
      <c r="H38" s="267"/>
      <c r="I38" s="297"/>
      <c r="J38" s="297">
        <v>918</v>
      </c>
      <c r="K38" s="297"/>
      <c r="L38" s="297"/>
      <c r="M38" s="297"/>
      <c r="N38" s="297">
        <v>385</v>
      </c>
      <c r="O38" s="297"/>
      <c r="P38" s="297"/>
      <c r="Q38" s="268">
        <f t="shared" si="1"/>
        <v>1884.2</v>
      </c>
      <c r="R38" s="268">
        <f t="shared" si="11"/>
        <v>1249.3333333333335</v>
      </c>
      <c r="S38" s="271"/>
      <c r="T38" s="271">
        <f t="shared" si="3"/>
        <v>253.94666666666663</v>
      </c>
      <c r="U38" s="272">
        <f t="shared" si="4"/>
        <v>380.9199999999999</v>
      </c>
    </row>
    <row r="39" spans="1:21" ht="16.5" thickBot="1">
      <c r="A39" s="266">
        <f t="shared" si="10"/>
        <v>14</v>
      </c>
      <c r="B39" s="297" t="s">
        <v>30</v>
      </c>
      <c r="C39" s="297">
        <v>1524.6</v>
      </c>
      <c r="D39" s="297">
        <v>43.4</v>
      </c>
      <c r="E39" s="301">
        <f>SUM(C39:D39)</f>
        <v>1568</v>
      </c>
      <c r="F39" s="301"/>
      <c r="G39" s="302">
        <v>4376.2</v>
      </c>
      <c r="H39" s="303"/>
      <c r="I39" s="302"/>
      <c r="J39" s="302"/>
      <c r="K39" s="302">
        <v>2581.9</v>
      </c>
      <c r="L39" s="302"/>
      <c r="M39" s="302"/>
      <c r="N39" s="302">
        <v>1400</v>
      </c>
      <c r="O39" s="302"/>
      <c r="P39" s="302"/>
      <c r="Q39" s="301">
        <f t="shared" si="1"/>
        <v>9926.1</v>
      </c>
      <c r="R39" s="301">
        <f t="shared" si="11"/>
        <v>7105.083333333334</v>
      </c>
      <c r="S39" s="304"/>
      <c r="T39" s="304">
        <f t="shared" si="3"/>
        <v>1128.4066666666665</v>
      </c>
      <c r="U39" s="305">
        <f t="shared" si="4"/>
        <v>1692.61</v>
      </c>
    </row>
    <row r="40" spans="1:21" ht="27" thickBot="1">
      <c r="A40" s="417"/>
      <c r="B40" s="281" t="s">
        <v>105</v>
      </c>
      <c r="C40" s="297"/>
      <c r="D40" s="306"/>
      <c r="E40" s="307">
        <f>SUM(E26:E39)</f>
        <v>7358.299999999999</v>
      </c>
      <c r="F40" s="283">
        <f aca="true" t="shared" si="12" ref="F40:U40">SUM(F26:F39)</f>
        <v>0</v>
      </c>
      <c r="G40" s="327">
        <f t="shared" si="12"/>
        <v>6028.2</v>
      </c>
      <c r="H40" s="283">
        <f t="shared" si="12"/>
        <v>0</v>
      </c>
      <c r="I40" s="283">
        <f t="shared" si="12"/>
        <v>0</v>
      </c>
      <c r="J40" s="283">
        <f t="shared" si="12"/>
        <v>918</v>
      </c>
      <c r="K40" s="283">
        <f t="shared" si="12"/>
        <v>2581.9</v>
      </c>
      <c r="L40" s="283">
        <f t="shared" si="12"/>
        <v>0</v>
      </c>
      <c r="M40" s="283">
        <f t="shared" si="12"/>
        <v>0</v>
      </c>
      <c r="N40" s="283">
        <f t="shared" si="12"/>
        <v>2929</v>
      </c>
      <c r="O40" s="283">
        <f t="shared" si="12"/>
        <v>2800</v>
      </c>
      <c r="P40" s="284"/>
      <c r="Q40" s="284">
        <f t="shared" si="12"/>
        <v>22615.4</v>
      </c>
      <c r="R40" s="284">
        <f t="shared" si="12"/>
        <v>16405.333333333336</v>
      </c>
      <c r="S40" s="284">
        <f t="shared" si="12"/>
        <v>0</v>
      </c>
      <c r="T40" s="284">
        <f t="shared" si="12"/>
        <v>2484.0266666666666</v>
      </c>
      <c r="U40" s="285">
        <f t="shared" si="12"/>
        <v>3726.04</v>
      </c>
    </row>
    <row r="41" spans="1:21" ht="26.25">
      <c r="A41" s="418"/>
      <c r="B41" s="287" t="s">
        <v>53</v>
      </c>
      <c r="C41" s="297"/>
      <c r="D41" s="306"/>
      <c r="E41" s="308">
        <f>(E39+E38+E37+E36+E35+E34+E33+E32+E31+E30+E29+E28+E27+E26)/1.2</f>
        <v>6131.916666666666</v>
      </c>
      <c r="F41" s="289">
        <f aca="true" t="shared" si="13" ref="F41:O41">(F39+F38+F37+F36+F35+F34+F33+F32+F31+F30+F29+F28+F27+F26)/1.2</f>
        <v>0</v>
      </c>
      <c r="G41" s="289">
        <f t="shared" si="13"/>
        <v>5023.5</v>
      </c>
      <c r="H41" s="289">
        <f t="shared" si="13"/>
        <v>0</v>
      </c>
      <c r="I41" s="289">
        <f t="shared" si="13"/>
        <v>0</v>
      </c>
      <c r="J41" s="289">
        <f t="shared" si="13"/>
        <v>765</v>
      </c>
      <c r="K41" s="289">
        <f t="shared" si="13"/>
        <v>2151.5833333333335</v>
      </c>
      <c r="L41" s="289">
        <f t="shared" si="13"/>
        <v>0</v>
      </c>
      <c r="M41" s="289">
        <f t="shared" si="13"/>
        <v>0</v>
      </c>
      <c r="N41" s="289"/>
      <c r="O41" s="290">
        <f t="shared" si="13"/>
        <v>2333.3333333333335</v>
      </c>
      <c r="P41" s="333"/>
      <c r="Q41" s="381"/>
      <c r="R41" s="382"/>
      <c r="S41" s="382"/>
      <c r="T41" s="382"/>
      <c r="U41" s="383"/>
    </row>
    <row r="42" spans="1:21" ht="26.25">
      <c r="A42" s="418"/>
      <c r="B42" s="291" t="s">
        <v>96</v>
      </c>
      <c r="C42" s="297"/>
      <c r="D42" s="306"/>
      <c r="E42" s="308"/>
      <c r="F42" s="289"/>
      <c r="G42" s="289"/>
      <c r="H42" s="289"/>
      <c r="I42" s="289"/>
      <c r="J42" s="289"/>
      <c r="K42" s="289"/>
      <c r="L42" s="289"/>
      <c r="M42" s="289"/>
      <c r="N42" s="289"/>
      <c r="O42" s="290"/>
      <c r="P42" s="333"/>
      <c r="Q42" s="377"/>
      <c r="R42" s="378"/>
      <c r="S42" s="378"/>
      <c r="T42" s="378"/>
      <c r="U42" s="374"/>
    </row>
    <row r="43" spans="1:21" ht="26.25">
      <c r="A43" s="418"/>
      <c r="B43" s="291" t="s">
        <v>55</v>
      </c>
      <c r="C43" s="297"/>
      <c r="D43" s="306"/>
      <c r="E43" s="308">
        <f>(E40-E41)*0.4</f>
        <v>490.5533333333333</v>
      </c>
      <c r="F43" s="289">
        <f aca="true" t="shared" si="14" ref="F43:O43">(F40-F41)*0.4</f>
        <v>0</v>
      </c>
      <c r="G43" s="289">
        <f t="shared" si="14"/>
        <v>401.87999999999994</v>
      </c>
      <c r="H43" s="289">
        <f t="shared" si="14"/>
        <v>0</v>
      </c>
      <c r="I43" s="289">
        <f t="shared" si="14"/>
        <v>0</v>
      </c>
      <c r="J43" s="289">
        <f t="shared" si="14"/>
        <v>61.2</v>
      </c>
      <c r="K43" s="289">
        <f t="shared" si="14"/>
        <v>172.12666666666667</v>
      </c>
      <c r="L43" s="289">
        <f t="shared" si="14"/>
        <v>0</v>
      </c>
      <c r="M43" s="289">
        <f t="shared" si="14"/>
        <v>0</v>
      </c>
      <c r="N43" s="289">
        <f>N40*0.4</f>
        <v>1171.6000000000001</v>
      </c>
      <c r="O43" s="290">
        <f t="shared" si="14"/>
        <v>186.66666666666663</v>
      </c>
      <c r="P43" s="333"/>
      <c r="Q43" s="377"/>
      <c r="R43" s="378"/>
      <c r="S43" s="378"/>
      <c r="T43" s="378"/>
      <c r="U43" s="374"/>
    </row>
    <row r="44" spans="1:21" ht="16.5" thickBot="1">
      <c r="A44" s="419"/>
      <c r="B44" s="293" t="s">
        <v>104</v>
      </c>
      <c r="C44" s="297"/>
      <c r="D44" s="306"/>
      <c r="E44" s="309">
        <f>(E40-E41)*0.6</f>
        <v>735.8299999999999</v>
      </c>
      <c r="F44" s="295">
        <f aca="true" t="shared" si="15" ref="F44:O44">(F40-F41)*0.6</f>
        <v>0</v>
      </c>
      <c r="G44" s="295">
        <f t="shared" si="15"/>
        <v>602.8199999999998</v>
      </c>
      <c r="H44" s="295">
        <f t="shared" si="15"/>
        <v>0</v>
      </c>
      <c r="I44" s="295">
        <f t="shared" si="15"/>
        <v>0</v>
      </c>
      <c r="J44" s="295">
        <f t="shared" si="15"/>
        <v>91.8</v>
      </c>
      <c r="K44" s="295">
        <f t="shared" si="15"/>
        <v>258.18999999999994</v>
      </c>
      <c r="L44" s="295">
        <f t="shared" si="15"/>
        <v>0</v>
      </c>
      <c r="M44" s="295">
        <f t="shared" si="15"/>
        <v>0</v>
      </c>
      <c r="N44" s="295">
        <f>N40*0.6</f>
        <v>1757.3999999999999</v>
      </c>
      <c r="O44" s="296">
        <f t="shared" si="15"/>
        <v>279.9999999999999</v>
      </c>
      <c r="P44" s="335"/>
      <c r="Q44" s="375"/>
      <c r="R44" s="376"/>
      <c r="S44" s="376"/>
      <c r="T44" s="376"/>
      <c r="U44" s="409"/>
    </row>
    <row r="45" spans="1:21" ht="15.75">
      <c r="A45" s="266"/>
      <c r="B45" s="310" t="s">
        <v>84</v>
      </c>
      <c r="C45" s="297"/>
      <c r="D45" s="297"/>
      <c r="E45" s="268"/>
      <c r="F45" s="268"/>
      <c r="G45" s="297"/>
      <c r="H45" s="267"/>
      <c r="I45" s="297"/>
      <c r="J45" s="297"/>
      <c r="K45" s="297"/>
      <c r="L45" s="297"/>
      <c r="M45" s="297"/>
      <c r="N45" s="297"/>
      <c r="O45" s="297"/>
      <c r="P45" s="297"/>
      <c r="Q45" s="268"/>
      <c r="R45" s="268"/>
      <c r="S45" s="271"/>
      <c r="T45" s="271"/>
      <c r="U45" s="311"/>
    </row>
    <row r="46" spans="1:21" ht="26.25">
      <c r="A46" s="266">
        <v>16</v>
      </c>
      <c r="B46" s="298" t="s">
        <v>90</v>
      </c>
      <c r="C46" s="297"/>
      <c r="D46" s="297"/>
      <c r="E46" s="271">
        <v>1895.1</v>
      </c>
      <c r="F46" s="271">
        <v>8594.2</v>
      </c>
      <c r="G46" s="297"/>
      <c r="H46" s="267"/>
      <c r="I46" s="297"/>
      <c r="J46" s="297"/>
      <c r="K46" s="297"/>
      <c r="L46" s="232"/>
      <c r="M46" s="297"/>
      <c r="N46" s="297"/>
      <c r="O46" s="297"/>
      <c r="P46" s="150">
        <v>522.35514</v>
      </c>
      <c r="Q46" s="268">
        <f aca="true" t="shared" si="16" ref="Q46:Q51">E46+F46+G46+H46+I46+J46+K46+L46+M46+N46+O46+P46</f>
        <v>11011.65514</v>
      </c>
      <c r="R46" s="268"/>
      <c r="S46" s="271">
        <f aca="true" t="shared" si="17" ref="S46:S51">Q46</f>
        <v>11011.65514</v>
      </c>
      <c r="T46" s="271"/>
      <c r="U46" s="311"/>
    </row>
    <row r="47" spans="1:21" ht="39">
      <c r="A47" s="266">
        <v>17</v>
      </c>
      <c r="B47" s="267" t="s">
        <v>92</v>
      </c>
      <c r="C47" s="297"/>
      <c r="D47" s="297"/>
      <c r="E47" s="271">
        <v>728.5</v>
      </c>
      <c r="F47" s="271">
        <v>2655.15</v>
      </c>
      <c r="G47" s="297"/>
      <c r="H47" s="267"/>
      <c r="I47" s="297"/>
      <c r="J47" s="297"/>
      <c r="K47" s="297"/>
      <c r="L47" s="297"/>
      <c r="M47" s="297"/>
      <c r="N47" s="297"/>
      <c r="O47" s="297"/>
      <c r="P47" s="150">
        <v>1059.13862</v>
      </c>
      <c r="Q47" s="268">
        <f t="shared" si="16"/>
        <v>4442.78862</v>
      </c>
      <c r="R47" s="268"/>
      <c r="S47" s="271">
        <f t="shared" si="17"/>
        <v>4442.78862</v>
      </c>
      <c r="T47" s="271"/>
      <c r="U47" s="311"/>
    </row>
    <row r="48" spans="1:21" ht="51.75">
      <c r="A48" s="266">
        <v>18</v>
      </c>
      <c r="B48" s="298" t="s">
        <v>91</v>
      </c>
      <c r="C48" s="297"/>
      <c r="D48" s="297"/>
      <c r="E48" s="271">
        <v>3228.647</v>
      </c>
      <c r="F48" s="271">
        <v>1779.5</v>
      </c>
      <c r="G48" s="297"/>
      <c r="H48" s="267"/>
      <c r="I48" s="297"/>
      <c r="J48" s="297"/>
      <c r="K48" s="297"/>
      <c r="L48" s="297"/>
      <c r="M48" s="297"/>
      <c r="N48" s="297"/>
      <c r="O48" s="297"/>
      <c r="P48" s="150">
        <v>647.6375</v>
      </c>
      <c r="Q48" s="268">
        <f t="shared" si="16"/>
        <v>5655.7845</v>
      </c>
      <c r="R48" s="268"/>
      <c r="S48" s="271">
        <f t="shared" si="17"/>
        <v>5655.7845</v>
      </c>
      <c r="T48" s="271"/>
      <c r="U48" s="311"/>
    </row>
    <row r="49" spans="1:21" ht="24.75">
      <c r="A49" s="266">
        <v>19</v>
      </c>
      <c r="B49" s="312" t="s">
        <v>89</v>
      </c>
      <c r="C49" s="297"/>
      <c r="D49" s="297"/>
      <c r="E49" s="329">
        <v>536.66</v>
      </c>
      <c r="F49" s="271"/>
      <c r="G49" s="297"/>
      <c r="H49" s="267"/>
      <c r="I49" s="297"/>
      <c r="J49" s="297"/>
      <c r="K49" s="297"/>
      <c r="L49" s="297"/>
      <c r="M49" s="297"/>
      <c r="N49" s="297"/>
      <c r="O49" s="297"/>
      <c r="P49" s="150">
        <v>137.07494</v>
      </c>
      <c r="Q49" s="268">
        <f t="shared" si="16"/>
        <v>673.7349399999999</v>
      </c>
      <c r="R49" s="268"/>
      <c r="S49" s="271">
        <f t="shared" si="17"/>
        <v>673.7349399999999</v>
      </c>
      <c r="T49" s="271"/>
      <c r="U49" s="311"/>
    </row>
    <row r="50" spans="1:21" ht="48.75">
      <c r="A50" s="313">
        <v>20</v>
      </c>
      <c r="B50" s="314" t="s">
        <v>93</v>
      </c>
      <c r="C50" s="297"/>
      <c r="D50" s="297"/>
      <c r="E50" s="350"/>
      <c r="F50" s="328"/>
      <c r="G50" s="297"/>
      <c r="H50" s="267"/>
      <c r="I50" s="297"/>
      <c r="J50" s="297"/>
      <c r="K50" s="297"/>
      <c r="L50" s="297"/>
      <c r="M50" s="297"/>
      <c r="N50" s="297"/>
      <c r="O50" s="297"/>
      <c r="P50" s="120"/>
      <c r="Q50" s="268">
        <f t="shared" si="16"/>
        <v>0</v>
      </c>
      <c r="R50" s="301"/>
      <c r="S50" s="304">
        <f t="shared" si="17"/>
        <v>0</v>
      </c>
      <c r="T50" s="304"/>
      <c r="U50" s="315"/>
    </row>
    <row r="51" spans="1:21" ht="37.5" thickBot="1">
      <c r="A51" s="340"/>
      <c r="B51" s="341" t="s">
        <v>149</v>
      </c>
      <c r="C51" s="297"/>
      <c r="D51" s="297"/>
      <c r="E51" s="350"/>
      <c r="F51" s="328"/>
      <c r="G51" s="297"/>
      <c r="H51" s="267"/>
      <c r="I51" s="297"/>
      <c r="J51" s="297"/>
      <c r="K51" s="297"/>
      <c r="L51" s="297"/>
      <c r="M51" s="297"/>
      <c r="N51" s="297"/>
      <c r="O51" s="297"/>
      <c r="P51" s="150">
        <v>68.6658</v>
      </c>
      <c r="Q51" s="268">
        <f t="shared" si="16"/>
        <v>68.6658</v>
      </c>
      <c r="R51" s="342"/>
      <c r="S51" s="304">
        <f t="shared" si="17"/>
        <v>68.6658</v>
      </c>
      <c r="T51" s="343"/>
      <c r="U51" s="344"/>
    </row>
    <row r="52" spans="1:21" ht="27" thickBot="1">
      <c r="A52" s="420"/>
      <c r="B52" s="281" t="s">
        <v>105</v>
      </c>
      <c r="C52" s="345"/>
      <c r="D52" s="346"/>
      <c r="E52" s="347">
        <f>SUM(E46:E51)</f>
        <v>6388.906999999999</v>
      </c>
      <c r="F52" s="347">
        <f>SUM(F46:F51)</f>
        <v>13028.85</v>
      </c>
      <c r="G52" s="347"/>
      <c r="H52" s="347"/>
      <c r="I52" s="347"/>
      <c r="J52" s="347"/>
      <c r="K52" s="347"/>
      <c r="L52" s="347"/>
      <c r="M52" s="347"/>
      <c r="N52" s="348"/>
      <c r="O52" s="349"/>
      <c r="P52" s="347">
        <f>SUM(P46:P51)</f>
        <v>2434.8720000000003</v>
      </c>
      <c r="Q52" s="347">
        <f>SUM(Q46:Q51)</f>
        <v>21852.629</v>
      </c>
      <c r="R52" s="316"/>
      <c r="S52" s="316">
        <f>SUM(S46:S51)</f>
        <v>21852.629</v>
      </c>
      <c r="T52" s="316"/>
      <c r="U52" s="317">
        <f>SUM(U46:U50)</f>
        <v>0</v>
      </c>
    </row>
    <row r="53" spans="1:21" ht="26.25">
      <c r="A53" s="421"/>
      <c r="B53" s="287" t="s">
        <v>53</v>
      </c>
      <c r="C53" s="297"/>
      <c r="D53" s="306"/>
      <c r="E53" s="308"/>
      <c r="F53" s="289"/>
      <c r="G53" s="289"/>
      <c r="H53" s="289"/>
      <c r="I53" s="289"/>
      <c r="J53" s="289"/>
      <c r="K53" s="289"/>
      <c r="L53" s="289"/>
      <c r="M53" s="289"/>
      <c r="N53" s="336"/>
      <c r="O53" s="289"/>
      <c r="P53" s="339"/>
      <c r="Q53" s="382"/>
      <c r="R53" s="382"/>
      <c r="S53" s="382"/>
      <c r="T53" s="382"/>
      <c r="U53" s="383"/>
    </row>
    <row r="54" spans="1:21" ht="26.25">
      <c r="A54" s="421"/>
      <c r="B54" s="291" t="s">
        <v>96</v>
      </c>
      <c r="C54" s="297"/>
      <c r="D54" s="306"/>
      <c r="E54" s="308">
        <f>SUM(E46:E51)</f>
        <v>6388.906999999999</v>
      </c>
      <c r="F54" s="308">
        <f>SUM(F46:F51)</f>
        <v>13028.85</v>
      </c>
      <c r="G54" s="308"/>
      <c r="H54" s="308"/>
      <c r="I54" s="308"/>
      <c r="J54" s="308"/>
      <c r="K54" s="308"/>
      <c r="L54" s="308"/>
      <c r="M54" s="308"/>
      <c r="N54" s="337"/>
      <c r="O54" s="289"/>
      <c r="P54" s="308">
        <f>SUM(P46:P51)</f>
        <v>2434.8720000000003</v>
      </c>
      <c r="Q54" s="378"/>
      <c r="R54" s="378"/>
      <c r="S54" s="378"/>
      <c r="T54" s="378"/>
      <c r="U54" s="374"/>
    </row>
    <row r="55" spans="1:21" ht="26.25">
      <c r="A55" s="421"/>
      <c r="B55" s="291" t="s">
        <v>55</v>
      </c>
      <c r="C55" s="297"/>
      <c r="D55" s="306"/>
      <c r="E55" s="308"/>
      <c r="F55" s="289"/>
      <c r="G55" s="289"/>
      <c r="H55" s="289"/>
      <c r="I55" s="289"/>
      <c r="J55" s="289"/>
      <c r="K55" s="289"/>
      <c r="L55" s="289"/>
      <c r="M55" s="289"/>
      <c r="N55" s="336"/>
      <c r="O55" s="289"/>
      <c r="P55" s="339"/>
      <c r="Q55" s="378"/>
      <c r="R55" s="378"/>
      <c r="S55" s="378"/>
      <c r="T55" s="378"/>
      <c r="U55" s="374"/>
    </row>
    <row r="56" spans="1:21" ht="16.5" thickBot="1">
      <c r="A56" s="422"/>
      <c r="B56" s="293" t="s">
        <v>104</v>
      </c>
      <c r="C56" s="297"/>
      <c r="D56" s="306"/>
      <c r="E56" s="309"/>
      <c r="F56" s="295"/>
      <c r="G56" s="295"/>
      <c r="H56" s="295"/>
      <c r="I56" s="295"/>
      <c r="J56" s="295"/>
      <c r="K56" s="295"/>
      <c r="L56" s="295"/>
      <c r="M56" s="295"/>
      <c r="N56" s="338"/>
      <c r="O56" s="289"/>
      <c r="P56" s="339"/>
      <c r="Q56" s="410"/>
      <c r="R56" s="376"/>
      <c r="S56" s="376"/>
      <c r="T56" s="376"/>
      <c r="U56" s="409"/>
    </row>
    <row r="57" spans="1:21" ht="16.5" thickBot="1">
      <c r="A57" s="318"/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384"/>
    </row>
    <row r="58" spans="1:21" ht="26.25">
      <c r="A58" s="423"/>
      <c r="B58" s="319" t="s">
        <v>106</v>
      </c>
      <c r="C58" s="320"/>
      <c r="D58" s="320"/>
      <c r="E58" s="327">
        <f aca="true" t="shared" si="18" ref="E58:U58">E52+E40+E20</f>
        <v>147034.50699999998</v>
      </c>
      <c r="F58" s="283">
        <f t="shared" si="18"/>
        <v>13028.85</v>
      </c>
      <c r="G58" s="283">
        <f t="shared" si="18"/>
        <v>309968.80000000005</v>
      </c>
      <c r="H58" s="283">
        <f t="shared" si="18"/>
        <v>3310</v>
      </c>
      <c r="I58" s="283">
        <f t="shared" si="18"/>
        <v>14202</v>
      </c>
      <c r="J58" s="283">
        <f t="shared" si="18"/>
        <v>5576.7</v>
      </c>
      <c r="K58" s="283">
        <f t="shared" si="18"/>
        <v>59281.9</v>
      </c>
      <c r="L58" s="283">
        <f t="shared" si="18"/>
        <v>37180</v>
      </c>
      <c r="M58" s="283">
        <f t="shared" si="18"/>
        <v>82398.59999999999</v>
      </c>
      <c r="N58" s="283">
        <f t="shared" si="18"/>
        <v>25566.3</v>
      </c>
      <c r="O58" s="283">
        <f t="shared" si="18"/>
        <v>161760</v>
      </c>
      <c r="P58" s="283">
        <f t="shared" si="18"/>
        <v>2434.8720000000003</v>
      </c>
      <c r="Q58" s="351">
        <f t="shared" si="18"/>
        <v>861742.529</v>
      </c>
      <c r="R58" s="283">
        <f t="shared" si="18"/>
        <v>456841.6450980392</v>
      </c>
      <c r="S58" s="283">
        <f t="shared" si="18"/>
        <v>21852.629</v>
      </c>
      <c r="T58" s="283">
        <f t="shared" si="18"/>
        <v>153219.30196078433</v>
      </c>
      <c r="U58" s="321">
        <f t="shared" si="18"/>
        <v>229828.95294117645</v>
      </c>
    </row>
    <row r="59" spans="1:21" ht="26.25">
      <c r="A59" s="424"/>
      <c r="B59" s="322" t="s">
        <v>53</v>
      </c>
      <c r="C59" s="297"/>
      <c r="D59" s="297"/>
      <c r="E59" s="289">
        <f aca="true" t="shared" si="19" ref="E59:P59">E53+E41+E21</f>
        <v>76552.55784313726</v>
      </c>
      <c r="F59" s="289">
        <f t="shared" si="19"/>
        <v>0</v>
      </c>
      <c r="G59" s="289">
        <f t="shared" si="19"/>
        <v>173705.99705882353</v>
      </c>
      <c r="H59" s="289">
        <f t="shared" si="19"/>
        <v>1947.0588235294117</v>
      </c>
      <c r="I59" s="289">
        <f t="shared" si="19"/>
        <v>7877.64705882353</v>
      </c>
      <c r="J59" s="289">
        <f t="shared" si="19"/>
        <v>3261.7323529411765</v>
      </c>
      <c r="K59" s="289">
        <f t="shared" si="19"/>
        <v>35504.52450980392</v>
      </c>
      <c r="L59" s="289">
        <f t="shared" si="19"/>
        <v>19865</v>
      </c>
      <c r="M59" s="289">
        <f t="shared" si="19"/>
        <v>47423.205882352944</v>
      </c>
      <c r="N59" s="289">
        <f t="shared" si="19"/>
        <v>0</v>
      </c>
      <c r="O59" s="289">
        <f t="shared" si="19"/>
        <v>90703.92156862745</v>
      </c>
      <c r="P59" s="289">
        <f t="shared" si="19"/>
        <v>0</v>
      </c>
      <c r="Q59" s="385"/>
      <c r="R59" s="385"/>
      <c r="S59" s="385"/>
      <c r="T59" s="385"/>
      <c r="U59" s="386"/>
    </row>
    <row r="60" spans="1:21" ht="26.25">
      <c r="A60" s="424"/>
      <c r="B60" s="322" t="s">
        <v>96</v>
      </c>
      <c r="C60" s="297"/>
      <c r="D60" s="297"/>
      <c r="E60" s="289">
        <f aca="true" t="shared" si="20" ref="E60:P60">E54+E42+E22</f>
        <v>6388.906999999999</v>
      </c>
      <c r="F60" s="289">
        <f t="shared" si="20"/>
        <v>13028.85</v>
      </c>
      <c r="G60" s="289">
        <f t="shared" si="20"/>
        <v>0</v>
      </c>
      <c r="H60" s="289">
        <f t="shared" si="20"/>
        <v>0</v>
      </c>
      <c r="I60" s="289">
        <f t="shared" si="20"/>
        <v>0</v>
      </c>
      <c r="J60" s="289">
        <f t="shared" si="20"/>
        <v>0</v>
      </c>
      <c r="K60" s="289">
        <f t="shared" si="20"/>
        <v>0</v>
      </c>
      <c r="L60" s="289">
        <f t="shared" si="20"/>
        <v>0</v>
      </c>
      <c r="M60" s="289">
        <f t="shared" si="20"/>
        <v>0</v>
      </c>
      <c r="N60" s="289">
        <f t="shared" si="20"/>
        <v>0</v>
      </c>
      <c r="O60" s="289">
        <f t="shared" si="20"/>
        <v>0</v>
      </c>
      <c r="P60" s="289">
        <f t="shared" si="20"/>
        <v>2434.8720000000003</v>
      </c>
      <c r="Q60" s="385"/>
      <c r="R60" s="385"/>
      <c r="S60" s="385"/>
      <c r="T60" s="385"/>
      <c r="U60" s="386"/>
    </row>
    <row r="61" spans="1:21" ht="26.25">
      <c r="A61" s="424"/>
      <c r="B61" s="322" t="s">
        <v>55</v>
      </c>
      <c r="C61" s="297"/>
      <c r="D61" s="297"/>
      <c r="E61" s="289">
        <f aca="true" t="shared" si="21" ref="E61:P61">E55+E43+E23</f>
        <v>25637.216862745096</v>
      </c>
      <c r="F61" s="289">
        <f t="shared" si="21"/>
        <v>0</v>
      </c>
      <c r="G61" s="289">
        <f t="shared" si="21"/>
        <v>54505.1211764706</v>
      </c>
      <c r="H61" s="289">
        <f t="shared" si="21"/>
        <v>545.1764705882354</v>
      </c>
      <c r="I61" s="289">
        <f t="shared" si="21"/>
        <v>2529.7411764705885</v>
      </c>
      <c r="J61" s="289">
        <f t="shared" si="21"/>
        <v>925.9870588235294</v>
      </c>
      <c r="K61" s="289">
        <f t="shared" si="21"/>
        <v>9510.950196078433</v>
      </c>
      <c r="L61" s="289">
        <f t="shared" si="21"/>
        <v>6926</v>
      </c>
      <c r="M61" s="289">
        <f t="shared" si="21"/>
        <v>13990.157647058819</v>
      </c>
      <c r="N61" s="289">
        <f t="shared" si="21"/>
        <v>10226.52</v>
      </c>
      <c r="O61" s="289">
        <f t="shared" si="21"/>
        <v>28422.431372549017</v>
      </c>
      <c r="P61" s="289">
        <f t="shared" si="21"/>
        <v>0</v>
      </c>
      <c r="Q61" s="385"/>
      <c r="R61" s="385"/>
      <c r="S61" s="385"/>
      <c r="T61" s="385"/>
      <c r="U61" s="386"/>
    </row>
    <row r="62" spans="1:21" ht="16.5" thickBot="1">
      <c r="A62" s="425"/>
      <c r="B62" s="323" t="s">
        <v>104</v>
      </c>
      <c r="C62" s="324"/>
      <c r="D62" s="324"/>
      <c r="E62" s="295">
        <f aca="true" t="shared" si="22" ref="E62:P62">E56+E44+E24</f>
        <v>38455.82529411764</v>
      </c>
      <c r="F62" s="295">
        <f t="shared" si="22"/>
        <v>0</v>
      </c>
      <c r="G62" s="295">
        <f t="shared" si="22"/>
        <v>81757.6817647059</v>
      </c>
      <c r="H62" s="295">
        <f t="shared" si="22"/>
        <v>817.7647058823529</v>
      </c>
      <c r="I62" s="295">
        <f t="shared" si="22"/>
        <v>3794.611764705882</v>
      </c>
      <c r="J62" s="295">
        <f t="shared" si="22"/>
        <v>1388.980588235294</v>
      </c>
      <c r="K62" s="295">
        <f t="shared" si="22"/>
        <v>14266.425294117647</v>
      </c>
      <c r="L62" s="295">
        <f t="shared" si="22"/>
        <v>10389</v>
      </c>
      <c r="M62" s="295">
        <f t="shared" si="22"/>
        <v>20985.23647058823</v>
      </c>
      <c r="N62" s="295">
        <f t="shared" si="22"/>
        <v>15339.779999999999</v>
      </c>
      <c r="O62" s="295">
        <f t="shared" si="22"/>
        <v>42633.647058823524</v>
      </c>
      <c r="P62" s="295">
        <f t="shared" si="22"/>
        <v>0</v>
      </c>
      <c r="Q62" s="379"/>
      <c r="R62" s="379"/>
      <c r="S62" s="379"/>
      <c r="T62" s="379"/>
      <c r="U62" s="380"/>
    </row>
  </sheetData>
  <sheetProtection selectLockedCells="1" selectUnlockedCells="1"/>
  <mergeCells count="31">
    <mergeCell ref="A20:A24"/>
    <mergeCell ref="A40:A44"/>
    <mergeCell ref="A52:A56"/>
    <mergeCell ref="A58:A62"/>
    <mergeCell ref="C2:D2"/>
    <mergeCell ref="B2:B4"/>
    <mergeCell ref="B57:U57"/>
    <mergeCell ref="Q59:U62"/>
    <mergeCell ref="U2:U4"/>
    <mergeCell ref="Q21:U24"/>
    <mergeCell ref="Q41:U44"/>
    <mergeCell ref="Q53:U56"/>
    <mergeCell ref="O2:O4"/>
    <mergeCell ref="L3:L4"/>
    <mergeCell ref="A1:T1"/>
    <mergeCell ref="G2:G4"/>
    <mergeCell ref="H2:H4"/>
    <mergeCell ref="I2:I4"/>
    <mergeCell ref="J2:J4"/>
    <mergeCell ref="A2:A4"/>
    <mergeCell ref="E2:E4"/>
    <mergeCell ref="N2:N4"/>
    <mergeCell ref="F2:F4"/>
    <mergeCell ref="K3:K4"/>
    <mergeCell ref="M2:M4"/>
    <mergeCell ref="K2:L2"/>
    <mergeCell ref="T2:T4"/>
    <mergeCell ref="Q2:Q4"/>
    <mergeCell ref="R2:R4"/>
    <mergeCell ref="S2:S4"/>
    <mergeCell ref="P2:P4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landscape" paperSize="9" scale="74" r:id="rId1"/>
  <rowBreaks count="2" manualBreakCount="2">
    <brk id="24" max="19" man="1"/>
    <brk id="4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61"/>
  <sheetViews>
    <sheetView zoomScale="55" zoomScaleNormal="55" zoomScaleSheetLayoutView="90" zoomScalePageLayoutView="0" workbookViewId="0" topLeftCell="A10">
      <selection activeCell="A2" sqref="A1:K16384"/>
    </sheetView>
  </sheetViews>
  <sheetFormatPr defaultColWidth="9.140625" defaultRowHeight="15"/>
  <cols>
    <col min="1" max="1" width="5.57421875" style="118" bestFit="1" customWidth="1"/>
    <col min="2" max="2" width="24.00390625" style="118" bestFit="1" customWidth="1"/>
    <col min="3" max="3" width="13.421875" style="118" customWidth="1"/>
    <col min="4" max="4" width="15.7109375" style="118" customWidth="1"/>
    <col min="5" max="5" width="12.8515625" style="132" customWidth="1"/>
    <col min="6" max="6" width="21.8515625" style="132" customWidth="1"/>
    <col min="7" max="7" width="13.00390625" style="118" customWidth="1"/>
    <col min="8" max="8" width="9.421875" style="118" customWidth="1"/>
    <col min="9" max="9" width="14.421875" style="118" customWidth="1"/>
    <col min="10" max="10" width="15.421875" style="118" customWidth="1"/>
    <col min="11" max="11" width="11.28125" style="118" bestFit="1" customWidth="1"/>
    <col min="12" max="16384" width="9.140625" style="45" customWidth="1"/>
  </cols>
  <sheetData>
    <row r="1" spans="1:10" ht="16.5" thickBot="1">
      <c r="A1" s="447" t="s">
        <v>101</v>
      </c>
      <c r="B1" s="448"/>
      <c r="C1" s="448"/>
      <c r="D1" s="448"/>
      <c r="E1" s="448"/>
      <c r="F1" s="448"/>
      <c r="G1" s="448"/>
      <c r="H1" s="448"/>
      <c r="I1" s="448"/>
      <c r="J1" s="449"/>
    </row>
    <row r="2" spans="1:11" ht="16.5" customHeight="1">
      <c r="A2" s="450" t="s">
        <v>0</v>
      </c>
      <c r="B2" s="438" t="s">
        <v>68</v>
      </c>
      <c r="C2" s="453" t="s">
        <v>57</v>
      </c>
      <c r="D2" s="456" t="s">
        <v>100</v>
      </c>
      <c r="E2" s="441" t="s">
        <v>38</v>
      </c>
      <c r="F2" s="441" t="s">
        <v>23</v>
      </c>
      <c r="G2" s="438" t="s">
        <v>54</v>
      </c>
      <c r="H2" s="444" t="s">
        <v>53</v>
      </c>
      <c r="I2" s="444" t="s">
        <v>96</v>
      </c>
      <c r="J2" s="438" t="s">
        <v>55</v>
      </c>
      <c r="K2" s="426" t="s">
        <v>104</v>
      </c>
    </row>
    <row r="3" spans="1:11" s="7" customFormat="1" ht="50.25" customHeight="1">
      <c r="A3" s="451"/>
      <c r="B3" s="439"/>
      <c r="C3" s="454"/>
      <c r="D3" s="457"/>
      <c r="E3" s="442"/>
      <c r="F3" s="442"/>
      <c r="G3" s="439"/>
      <c r="H3" s="445"/>
      <c r="I3" s="445"/>
      <c r="J3" s="439"/>
      <c r="K3" s="427"/>
    </row>
    <row r="4" spans="1:11" s="7" customFormat="1" ht="87.75" customHeight="1" thickBot="1">
      <c r="A4" s="452"/>
      <c r="B4" s="440"/>
      <c r="C4" s="455"/>
      <c r="D4" s="458"/>
      <c r="E4" s="443"/>
      <c r="F4" s="443"/>
      <c r="G4" s="440"/>
      <c r="H4" s="446"/>
      <c r="I4" s="446"/>
      <c r="J4" s="440"/>
      <c r="K4" s="428"/>
    </row>
    <row r="5" spans="1:11" ht="15.75">
      <c r="A5" s="128"/>
      <c r="B5" s="125" t="s">
        <v>12</v>
      </c>
      <c r="C5" s="126"/>
      <c r="D5" s="125"/>
      <c r="E5" s="152"/>
      <c r="F5" s="152"/>
      <c r="G5" s="125"/>
      <c r="H5" s="125"/>
      <c r="I5" s="126"/>
      <c r="J5" s="126"/>
      <c r="K5" s="156"/>
    </row>
    <row r="6" spans="1:11" s="33" customFormat="1" ht="15.75">
      <c r="A6" s="97">
        <v>1</v>
      </c>
      <c r="B6" s="95" t="s">
        <v>3</v>
      </c>
      <c r="C6" s="108">
        <v>1850</v>
      </c>
      <c r="D6" s="95">
        <v>3069</v>
      </c>
      <c r="E6" s="133">
        <f>2895.8+330+23014.2</f>
        <v>26240</v>
      </c>
      <c r="F6" s="134"/>
      <c r="G6" s="103">
        <f>C6+D6+E6+F6</f>
        <v>31159</v>
      </c>
      <c r="H6" s="103">
        <f>(C6+D6+E6+F6)/1.7</f>
        <v>18328.823529411766</v>
      </c>
      <c r="I6" s="108"/>
      <c r="J6" s="108">
        <f>(G6-H6)*0.4</f>
        <v>5132.070588235294</v>
      </c>
      <c r="K6" s="109">
        <f>(G6-H6)*0.6</f>
        <v>7698.10588235294</v>
      </c>
    </row>
    <row r="7" spans="1:11" s="33" customFormat="1" ht="15.75">
      <c r="A7" s="97">
        <f aca="true" t="shared" si="0" ref="A7:A19">A6+1</f>
        <v>2</v>
      </c>
      <c r="B7" s="95" t="s">
        <v>2</v>
      </c>
      <c r="C7" s="108"/>
      <c r="D7" s="95">
        <v>500</v>
      </c>
      <c r="E7" s="134">
        <v>3453.5</v>
      </c>
      <c r="F7" s="134">
        <v>658</v>
      </c>
      <c r="G7" s="103">
        <f>C7+D7+E7+F7</f>
        <v>4611.5</v>
      </c>
      <c r="H7" s="103">
        <f>(C7+D7+E7+F7)/1.7</f>
        <v>2712.6470588235293</v>
      </c>
      <c r="I7" s="108"/>
      <c r="J7" s="108">
        <f>(G7-H7)*0.4</f>
        <v>759.5411764705883</v>
      </c>
      <c r="K7" s="109">
        <f>(G7-H7)*0.6</f>
        <v>1139.3117647058823</v>
      </c>
    </row>
    <row r="8" spans="1:11" s="33" customFormat="1" ht="15.75">
      <c r="A8" s="97">
        <f t="shared" si="0"/>
        <v>3</v>
      </c>
      <c r="B8" s="95" t="s">
        <v>6</v>
      </c>
      <c r="C8" s="108"/>
      <c r="D8" s="95"/>
      <c r="E8" s="134"/>
      <c r="F8" s="134"/>
      <c r="G8" s="103"/>
      <c r="H8" s="103"/>
      <c r="I8" s="108"/>
      <c r="J8" s="108"/>
      <c r="K8" s="109"/>
    </row>
    <row r="9" spans="1:11" s="33" customFormat="1" ht="15.75">
      <c r="A9" s="97">
        <f t="shared" si="0"/>
        <v>4</v>
      </c>
      <c r="B9" s="95" t="s">
        <v>8</v>
      </c>
      <c r="C9" s="108"/>
      <c r="D9" s="95"/>
      <c r="E9" s="134"/>
      <c r="F9" s="134">
        <v>1880</v>
      </c>
      <c r="G9" s="103">
        <f>C9+D9+E9+F9</f>
        <v>1880</v>
      </c>
      <c r="H9" s="103">
        <f>(C9+D9+E9+F9)/1.7</f>
        <v>1105.8823529411766</v>
      </c>
      <c r="I9" s="108"/>
      <c r="J9" s="108">
        <f>(G9-H9)*0.4</f>
        <v>309.6470588235294</v>
      </c>
      <c r="K9" s="109">
        <f>(G9-H9)*0.6</f>
        <v>464.47058823529403</v>
      </c>
    </row>
    <row r="10" spans="1:11" s="33" customFormat="1" ht="15.75">
      <c r="A10" s="97">
        <f t="shared" si="0"/>
        <v>5</v>
      </c>
      <c r="B10" s="95" t="s">
        <v>9</v>
      </c>
      <c r="C10" s="108"/>
      <c r="D10" s="95"/>
      <c r="E10" s="134"/>
      <c r="F10" s="134">
        <v>423</v>
      </c>
      <c r="G10" s="103">
        <f>C10+D10+E10+F10</f>
        <v>423</v>
      </c>
      <c r="H10" s="103">
        <f>(C10+D10+E10+F10)/1.7</f>
        <v>248.82352941176472</v>
      </c>
      <c r="I10" s="108"/>
      <c r="J10" s="108">
        <f>(G10-H10)*0.4</f>
        <v>69.67058823529412</v>
      </c>
      <c r="K10" s="109">
        <f>(G10-H10)*0.6</f>
        <v>104.50588235294116</v>
      </c>
    </row>
    <row r="11" spans="1:11" s="33" customFormat="1" ht="15.75">
      <c r="A11" s="97">
        <f t="shared" si="0"/>
        <v>6</v>
      </c>
      <c r="B11" s="95" t="s">
        <v>7</v>
      </c>
      <c r="C11" s="108"/>
      <c r="D11" s="95"/>
      <c r="E11" s="134"/>
      <c r="F11" s="134">
        <v>70.5</v>
      </c>
      <c r="G11" s="103">
        <f>C11+D11+E11+F11</f>
        <v>70.5</v>
      </c>
      <c r="H11" s="103">
        <f>(C11+D11+E11+F11)/1.7</f>
        <v>41.470588235294116</v>
      </c>
      <c r="I11" s="108"/>
      <c r="J11" s="108">
        <f>(G11-H11)*0.4</f>
        <v>11.611764705882354</v>
      </c>
      <c r="K11" s="109">
        <f>(G11-H11)*0.6</f>
        <v>17.41764705882353</v>
      </c>
    </row>
    <row r="12" spans="1:11" s="33" customFormat="1" ht="15.75">
      <c r="A12" s="97">
        <f t="shared" si="0"/>
        <v>7</v>
      </c>
      <c r="B12" s="95" t="s">
        <v>58</v>
      </c>
      <c r="C12" s="108">
        <v>14696.2</v>
      </c>
      <c r="D12" s="95"/>
      <c r="E12" s="134"/>
      <c r="F12" s="134"/>
      <c r="G12" s="103">
        <f>C12+D12+E12+F12</f>
        <v>14696.2</v>
      </c>
      <c r="H12" s="103">
        <f>(C12+D12+E12+F12)/1.7</f>
        <v>8644.823529411766</v>
      </c>
      <c r="I12" s="108"/>
      <c r="J12" s="108">
        <f>(G12-H12)*0.4</f>
        <v>2420.550588235294</v>
      </c>
      <c r="K12" s="109">
        <f>(G12-H12)*0.6</f>
        <v>3630.825882352941</v>
      </c>
    </row>
    <row r="13" spans="1:11" s="33" customFormat="1" ht="15.75">
      <c r="A13" s="97">
        <f t="shared" si="0"/>
        <v>8</v>
      </c>
      <c r="B13" s="95" t="s">
        <v>1</v>
      </c>
      <c r="C13" s="108"/>
      <c r="D13" s="95">
        <v>836.7</v>
      </c>
      <c r="E13" s="133">
        <v>27225</v>
      </c>
      <c r="F13" s="134"/>
      <c r="G13" s="103">
        <f>C13+D13+E13+F13</f>
        <v>28061.7</v>
      </c>
      <c r="H13" s="103">
        <f>(C13+D13+E13+F13)/2</f>
        <v>14030.85</v>
      </c>
      <c r="I13" s="108"/>
      <c r="J13" s="108">
        <f>(G13-H13)*0.4</f>
        <v>5612.34</v>
      </c>
      <c r="K13" s="109">
        <f>(G13-H13)*0.6</f>
        <v>8418.51</v>
      </c>
    </row>
    <row r="14" spans="1:11" s="33" customFormat="1" ht="15.75">
      <c r="A14" s="97">
        <f t="shared" si="0"/>
        <v>9</v>
      </c>
      <c r="B14" s="95" t="s">
        <v>66</v>
      </c>
      <c r="C14" s="108"/>
      <c r="D14" s="95"/>
      <c r="E14" s="134"/>
      <c r="F14" s="134"/>
      <c r="G14" s="103"/>
      <c r="H14" s="103"/>
      <c r="I14" s="108"/>
      <c r="J14" s="108"/>
      <c r="K14" s="109"/>
    </row>
    <row r="15" spans="1:11" s="148" customFormat="1" ht="15.75">
      <c r="A15" s="97">
        <f t="shared" si="0"/>
        <v>10</v>
      </c>
      <c r="B15" s="95" t="s">
        <v>5</v>
      </c>
      <c r="C15" s="108"/>
      <c r="D15" s="95"/>
      <c r="E15" s="134"/>
      <c r="F15" s="134"/>
      <c r="G15" s="103"/>
      <c r="H15" s="103"/>
      <c r="I15" s="108"/>
      <c r="J15" s="108"/>
      <c r="K15" s="109"/>
    </row>
    <row r="16" spans="1:11" s="33" customFormat="1" ht="15.75">
      <c r="A16" s="97">
        <f t="shared" si="0"/>
        <v>11</v>
      </c>
      <c r="B16" s="95" t="s">
        <v>4</v>
      </c>
      <c r="C16" s="108"/>
      <c r="D16" s="95"/>
      <c r="E16" s="134">
        <v>772.2</v>
      </c>
      <c r="F16" s="134"/>
      <c r="G16" s="103">
        <f>C16+D16+E16+F16</f>
        <v>772.2</v>
      </c>
      <c r="H16" s="103">
        <f>(C16+D16+E16+F16)/1.7</f>
        <v>454.2352941176471</v>
      </c>
      <c r="I16" s="108"/>
      <c r="J16" s="108">
        <f>(G16-H16)*0.4</f>
        <v>127.18588235294119</v>
      </c>
      <c r="K16" s="109">
        <f>(G16-H16)*0.6</f>
        <v>190.77882352941177</v>
      </c>
    </row>
    <row r="17" spans="1:11" s="33" customFormat="1" ht="15.75">
      <c r="A17" s="97">
        <f t="shared" si="0"/>
        <v>12</v>
      </c>
      <c r="B17" s="95" t="s">
        <v>27</v>
      </c>
      <c r="C17" s="108"/>
      <c r="D17" s="95"/>
      <c r="E17" s="134"/>
      <c r="F17" s="134"/>
      <c r="G17" s="103"/>
      <c r="H17" s="103"/>
      <c r="I17" s="108"/>
      <c r="J17" s="108"/>
      <c r="K17" s="109"/>
    </row>
    <row r="18" spans="1:11" s="33" customFormat="1" ht="15.75">
      <c r="A18" s="97">
        <f t="shared" si="0"/>
        <v>13</v>
      </c>
      <c r="B18" s="95" t="s">
        <v>10</v>
      </c>
      <c r="C18" s="108"/>
      <c r="D18" s="95"/>
      <c r="E18" s="134"/>
      <c r="F18" s="134"/>
      <c r="G18" s="103"/>
      <c r="H18" s="103"/>
      <c r="I18" s="108"/>
      <c r="J18" s="108"/>
      <c r="K18" s="109"/>
    </row>
    <row r="19" spans="1:11" s="33" customFormat="1" ht="16.5" thickBot="1">
      <c r="A19" s="97">
        <f t="shared" si="0"/>
        <v>14</v>
      </c>
      <c r="B19" s="95" t="s">
        <v>35</v>
      </c>
      <c r="C19" s="108"/>
      <c r="D19" s="95"/>
      <c r="E19" s="134"/>
      <c r="F19" s="134"/>
      <c r="G19" s="103"/>
      <c r="H19" s="103"/>
      <c r="I19" s="108"/>
      <c r="J19" s="108"/>
      <c r="K19" s="109"/>
    </row>
    <row r="20" spans="1:11" s="33" customFormat="1" ht="27" thickBot="1">
      <c r="A20" s="97"/>
      <c r="B20" s="169" t="s">
        <v>105</v>
      </c>
      <c r="C20" s="176">
        <f>SUM(C6:C19)</f>
        <v>16546.2</v>
      </c>
      <c r="D20" s="176">
        <f aca="true" t="shared" si="1" ref="D20:K20">SUM(D6:D19)</f>
        <v>4405.7</v>
      </c>
      <c r="E20" s="176">
        <f t="shared" si="1"/>
        <v>57690.7</v>
      </c>
      <c r="F20" s="176">
        <f t="shared" si="1"/>
        <v>3031.5</v>
      </c>
      <c r="G20" s="176">
        <f t="shared" si="1"/>
        <v>81674.09999999999</v>
      </c>
      <c r="H20" s="176">
        <f t="shared" si="1"/>
        <v>45567.55588235294</v>
      </c>
      <c r="I20" s="176">
        <f t="shared" si="1"/>
        <v>0</v>
      </c>
      <c r="J20" s="176">
        <f t="shared" si="1"/>
        <v>14442.617647058825</v>
      </c>
      <c r="K20" s="186">
        <f t="shared" si="1"/>
        <v>21663.926470588234</v>
      </c>
    </row>
    <row r="21" spans="1:11" s="33" customFormat="1" ht="15.75">
      <c r="A21" s="97"/>
      <c r="B21" s="172" t="s">
        <v>53</v>
      </c>
      <c r="C21" s="177">
        <f>((C19+C18+C17+C16+C15+C14+C12+C11+C10+C9+C8+C7+C6)/1.7)+(C13/2)</f>
        <v>9733.058823529413</v>
      </c>
      <c r="D21" s="177">
        <f>((D19+D18+D17+D16+D15+D14+D12+D11+D10+D9+D8+D7+D6)/1.7)+(D13/2)</f>
        <v>2517.7617647058823</v>
      </c>
      <c r="E21" s="177">
        <f>((E19+E18+E17+E16+E15+E14+E12+E11+E10+E9+E8+E7+E6)/1.7)+(E13/2)</f>
        <v>31533.5</v>
      </c>
      <c r="F21" s="177">
        <f>((F19+F18+F17+F16+F15+F14+F12+F11+F10+F9+F8+F7+F6)/1.7)+(F13/2)</f>
        <v>1783.235294117647</v>
      </c>
      <c r="G21" s="429"/>
      <c r="H21" s="430"/>
      <c r="I21" s="430"/>
      <c r="J21" s="430"/>
      <c r="K21" s="431"/>
    </row>
    <row r="22" spans="1:11" s="33" customFormat="1" ht="26.25">
      <c r="A22" s="97"/>
      <c r="B22" s="173" t="s">
        <v>96</v>
      </c>
      <c r="C22" s="177"/>
      <c r="D22" s="177"/>
      <c r="E22" s="177"/>
      <c r="F22" s="177"/>
      <c r="G22" s="432"/>
      <c r="H22" s="433"/>
      <c r="I22" s="433"/>
      <c r="J22" s="433"/>
      <c r="K22" s="434"/>
    </row>
    <row r="23" spans="1:11" s="33" customFormat="1" ht="15.75">
      <c r="A23" s="97"/>
      <c r="B23" s="173" t="s">
        <v>55</v>
      </c>
      <c r="C23" s="177">
        <f>(C20-C21)*0.4</f>
        <v>2725.2564705882355</v>
      </c>
      <c r="D23" s="177">
        <f>(D20-D21)*0.4</f>
        <v>755.175294117647</v>
      </c>
      <c r="E23" s="177">
        <f>(E20-E21)*0.4</f>
        <v>10462.88</v>
      </c>
      <c r="F23" s="177">
        <f>(F20-F21)*0.4</f>
        <v>499.3058823529412</v>
      </c>
      <c r="G23" s="432"/>
      <c r="H23" s="433"/>
      <c r="I23" s="433"/>
      <c r="J23" s="433"/>
      <c r="K23" s="434"/>
    </row>
    <row r="24" spans="1:11" s="33" customFormat="1" ht="16.5" thickBot="1">
      <c r="A24" s="97"/>
      <c r="B24" s="175" t="s">
        <v>104</v>
      </c>
      <c r="C24" s="178">
        <f>(C20-C21)*0.6</f>
        <v>4087.8847058823526</v>
      </c>
      <c r="D24" s="178">
        <f>(D20-D21)*0.6</f>
        <v>1132.7629411764703</v>
      </c>
      <c r="E24" s="178">
        <f>(E20-E21)*0.6</f>
        <v>15694.319999999998</v>
      </c>
      <c r="F24" s="178">
        <f>(F20-F21)*0.6</f>
        <v>748.9588235294117</v>
      </c>
      <c r="G24" s="435"/>
      <c r="H24" s="436"/>
      <c r="I24" s="436"/>
      <c r="J24" s="436"/>
      <c r="K24" s="437"/>
    </row>
    <row r="25" spans="1:11" s="33" customFormat="1" ht="15.75">
      <c r="A25" s="97"/>
      <c r="B25" s="123" t="s">
        <v>13</v>
      </c>
      <c r="C25" s="108"/>
      <c r="D25" s="95"/>
      <c r="E25" s="134"/>
      <c r="F25" s="134"/>
      <c r="G25" s="103"/>
      <c r="H25" s="103"/>
      <c r="I25" s="108"/>
      <c r="J25" s="108"/>
      <c r="K25" s="109"/>
    </row>
    <row r="26" spans="1:11" s="33" customFormat="1" ht="17.25" customHeight="1">
      <c r="A26" s="97">
        <f aca="true" t="shared" si="2" ref="A26:A39">A25+1</f>
        <v>1</v>
      </c>
      <c r="B26" s="95" t="s">
        <v>14</v>
      </c>
      <c r="C26" s="108">
        <v>2200</v>
      </c>
      <c r="D26" s="95"/>
      <c r="E26" s="134"/>
      <c r="F26" s="134"/>
      <c r="G26" s="103">
        <f>C26+D26+E26+F26</f>
        <v>2200</v>
      </c>
      <c r="H26" s="103">
        <f>(C26+D26+E26+F26)/1.2</f>
        <v>1833.3333333333335</v>
      </c>
      <c r="I26" s="108"/>
      <c r="J26" s="108">
        <f>(G26-H26)*0.4</f>
        <v>146.6666666666666</v>
      </c>
      <c r="K26" s="109">
        <f>(G26-H26)*0.6</f>
        <v>219.99999999999991</v>
      </c>
    </row>
    <row r="27" spans="1:11" s="33" customFormat="1" ht="15.75">
      <c r="A27" s="97">
        <f t="shared" si="2"/>
        <v>2</v>
      </c>
      <c r="B27" s="120" t="s">
        <v>34</v>
      </c>
      <c r="C27" s="108"/>
      <c r="D27" s="95"/>
      <c r="E27" s="134"/>
      <c r="F27" s="134"/>
      <c r="G27" s="103"/>
      <c r="H27" s="103"/>
      <c r="I27" s="108"/>
      <c r="J27" s="108"/>
      <c r="K27" s="109"/>
    </row>
    <row r="28" spans="1:11" ht="15.75">
      <c r="A28" s="97">
        <f t="shared" si="2"/>
        <v>3</v>
      </c>
      <c r="B28" s="120" t="s">
        <v>16</v>
      </c>
      <c r="C28" s="108"/>
      <c r="D28" s="120"/>
      <c r="E28" s="131"/>
      <c r="F28" s="131"/>
      <c r="G28" s="103"/>
      <c r="H28" s="103"/>
      <c r="I28" s="108"/>
      <c r="J28" s="108"/>
      <c r="K28" s="109"/>
    </row>
    <row r="29" spans="1:11" ht="15.75">
      <c r="A29" s="97">
        <f t="shared" si="2"/>
        <v>4</v>
      </c>
      <c r="B29" s="120" t="s">
        <v>28</v>
      </c>
      <c r="C29" s="108"/>
      <c r="D29" s="120"/>
      <c r="E29" s="131"/>
      <c r="F29" s="131"/>
      <c r="G29" s="103"/>
      <c r="H29" s="103"/>
      <c r="I29" s="108"/>
      <c r="J29" s="108"/>
      <c r="K29" s="109"/>
    </row>
    <row r="30" spans="1:11" s="33" customFormat="1" ht="15.75">
      <c r="A30" s="97">
        <f t="shared" si="2"/>
        <v>5</v>
      </c>
      <c r="B30" s="95" t="s">
        <v>15</v>
      </c>
      <c r="C30" s="108">
        <v>4096.4</v>
      </c>
      <c r="D30" s="95">
        <v>129.6</v>
      </c>
      <c r="E30" s="134"/>
      <c r="F30" s="134"/>
      <c r="G30" s="103">
        <f>C30+D30+E30+F30</f>
        <v>4226</v>
      </c>
      <c r="H30" s="103">
        <f>(C30+D30+E30+F30)/1.2</f>
        <v>3521.666666666667</v>
      </c>
      <c r="I30" s="108"/>
      <c r="J30" s="108">
        <f>(G30-H30)*0.4</f>
        <v>281.73333333333323</v>
      </c>
      <c r="K30" s="109">
        <f>(G30-H30)*0.6</f>
        <v>422.5999999999998</v>
      </c>
    </row>
    <row r="31" spans="1:11" s="33" customFormat="1" ht="15.75">
      <c r="A31" s="97">
        <f t="shared" si="2"/>
        <v>6</v>
      </c>
      <c r="B31" s="95" t="s">
        <v>31</v>
      </c>
      <c r="C31" s="108"/>
      <c r="D31" s="95"/>
      <c r="E31" s="134"/>
      <c r="F31" s="134"/>
      <c r="G31" s="103"/>
      <c r="H31" s="103"/>
      <c r="I31" s="108"/>
      <c r="J31" s="108"/>
      <c r="K31" s="109"/>
    </row>
    <row r="32" spans="1:11" ht="15.75">
      <c r="A32" s="97">
        <f t="shared" si="2"/>
        <v>7</v>
      </c>
      <c r="B32" s="120" t="s">
        <v>59</v>
      </c>
      <c r="C32" s="108"/>
      <c r="D32" s="120"/>
      <c r="E32" s="131"/>
      <c r="F32" s="131"/>
      <c r="G32" s="103"/>
      <c r="H32" s="103"/>
      <c r="I32" s="108"/>
      <c r="J32" s="108"/>
      <c r="K32" s="109"/>
    </row>
    <row r="33" spans="1:11" ht="15.75">
      <c r="A33" s="97">
        <f t="shared" si="2"/>
        <v>8</v>
      </c>
      <c r="B33" s="120" t="s">
        <v>29</v>
      </c>
      <c r="C33" s="108"/>
      <c r="D33" s="120"/>
      <c r="E33" s="131"/>
      <c r="F33" s="131"/>
      <c r="G33" s="103"/>
      <c r="H33" s="103"/>
      <c r="I33" s="108"/>
      <c r="J33" s="108"/>
      <c r="K33" s="109"/>
    </row>
    <row r="34" spans="1:11" ht="15.75">
      <c r="A34" s="97">
        <f t="shared" si="2"/>
        <v>9</v>
      </c>
      <c r="B34" s="120" t="s">
        <v>41</v>
      </c>
      <c r="C34" s="108">
        <v>750</v>
      </c>
      <c r="D34" s="120"/>
      <c r="E34" s="131"/>
      <c r="F34" s="131"/>
      <c r="G34" s="103">
        <f>C34+D34+E34+F34</f>
        <v>750</v>
      </c>
      <c r="H34" s="103">
        <f>(C34+D34+E34+F34)/1.2</f>
        <v>625</v>
      </c>
      <c r="I34" s="108"/>
      <c r="J34" s="108">
        <f>(G34-H34)*0.4</f>
        <v>50</v>
      </c>
      <c r="K34" s="109">
        <f>(G34-H34)*0.6</f>
        <v>75</v>
      </c>
    </row>
    <row r="35" spans="1:11" ht="15.75">
      <c r="A35" s="97">
        <f t="shared" si="2"/>
        <v>10</v>
      </c>
      <c r="B35" s="120" t="s">
        <v>32</v>
      </c>
      <c r="C35" s="108"/>
      <c r="D35" s="120"/>
      <c r="E35" s="131"/>
      <c r="F35" s="131"/>
      <c r="G35" s="103"/>
      <c r="H35" s="103"/>
      <c r="I35" s="108"/>
      <c r="J35" s="108"/>
      <c r="K35" s="109"/>
    </row>
    <row r="36" spans="1:11" ht="15.75">
      <c r="A36" s="97">
        <f t="shared" si="2"/>
        <v>11</v>
      </c>
      <c r="B36" s="120" t="s">
        <v>42</v>
      </c>
      <c r="C36" s="108"/>
      <c r="D36" s="120"/>
      <c r="E36" s="131"/>
      <c r="F36" s="131"/>
      <c r="G36" s="103"/>
      <c r="H36" s="103"/>
      <c r="I36" s="108"/>
      <c r="J36" s="108"/>
      <c r="K36" s="109"/>
    </row>
    <row r="37" spans="1:11" ht="15.75">
      <c r="A37" s="97">
        <f t="shared" si="2"/>
        <v>12</v>
      </c>
      <c r="B37" s="120" t="s">
        <v>79</v>
      </c>
      <c r="C37" s="108">
        <v>372.4</v>
      </c>
      <c r="D37" s="120"/>
      <c r="E37" s="131"/>
      <c r="F37" s="131"/>
      <c r="G37" s="103">
        <f>C37+D37+E37+F37</f>
        <v>372.4</v>
      </c>
      <c r="H37" s="103">
        <f>(C37+D37+E37+F37)/1.2</f>
        <v>310.3333333333333</v>
      </c>
      <c r="I37" s="108"/>
      <c r="J37" s="108">
        <f>(G37-H37)*0.4</f>
        <v>24.826666666666668</v>
      </c>
      <c r="K37" s="109">
        <f>(G37-H37)*0.6</f>
        <v>37.239999999999995</v>
      </c>
    </row>
    <row r="38" spans="1:11" ht="15.75">
      <c r="A38" s="97">
        <f t="shared" si="2"/>
        <v>13</v>
      </c>
      <c r="B38" s="120" t="s">
        <v>45</v>
      </c>
      <c r="C38" s="108"/>
      <c r="D38" s="120"/>
      <c r="E38" s="131"/>
      <c r="F38" s="131"/>
      <c r="G38" s="103"/>
      <c r="H38" s="103"/>
      <c r="I38" s="108"/>
      <c r="J38" s="108"/>
      <c r="K38" s="109"/>
    </row>
    <row r="39" spans="1:11" ht="16.5" thickBot="1">
      <c r="A39" s="97">
        <f t="shared" si="2"/>
        <v>14</v>
      </c>
      <c r="B39" s="120" t="s">
        <v>30</v>
      </c>
      <c r="C39" s="108"/>
      <c r="D39" s="120"/>
      <c r="E39" s="131"/>
      <c r="F39" s="131"/>
      <c r="G39" s="103"/>
      <c r="H39" s="103"/>
      <c r="I39" s="108"/>
      <c r="J39" s="108"/>
      <c r="K39" s="109"/>
    </row>
    <row r="40" spans="1:11" ht="27" thickBot="1">
      <c r="A40" s="477"/>
      <c r="B40" s="169" t="s">
        <v>105</v>
      </c>
      <c r="C40" s="176">
        <f>SUM(C26:C39)</f>
        <v>7418.799999999999</v>
      </c>
      <c r="D40" s="176">
        <f aca="true" t="shared" si="3" ref="D40:K40">SUM(D26:D39)</f>
        <v>129.6</v>
      </c>
      <c r="E40" s="176">
        <f t="shared" si="3"/>
        <v>0</v>
      </c>
      <c r="F40" s="176">
        <f t="shared" si="3"/>
        <v>0</v>
      </c>
      <c r="G40" s="181">
        <f t="shared" si="3"/>
        <v>7548.4</v>
      </c>
      <c r="H40" s="181">
        <f t="shared" si="3"/>
        <v>6290.333333333333</v>
      </c>
      <c r="I40" s="181">
        <f t="shared" si="3"/>
        <v>0</v>
      </c>
      <c r="J40" s="181">
        <f t="shared" si="3"/>
        <v>503.2266666666665</v>
      </c>
      <c r="K40" s="184">
        <f t="shared" si="3"/>
        <v>754.8399999999997</v>
      </c>
    </row>
    <row r="41" spans="1:11" ht="15.75">
      <c r="A41" s="478"/>
      <c r="B41" s="172" t="s">
        <v>53</v>
      </c>
      <c r="C41" s="177">
        <f>(C39+C38+C37+C36+C35+C34+C33+C32+C31+C30+C29+C28+C27+C26)/1.2</f>
        <v>6182.333333333333</v>
      </c>
      <c r="D41" s="151">
        <f>(D39+D38+D37+D36+D35+D34+D33+D32+D31+D30+D29+D28+D27+D26)/1.2</f>
        <v>108</v>
      </c>
      <c r="E41" s="151">
        <f>(E39+E38+E37+E36+E35+E34+E33+E32+E31+E30+E29+E28+E27+E26)/1.2</f>
        <v>0</v>
      </c>
      <c r="F41" s="388">
        <f>(F39+F38+F37+F36+F35+F34+F33+F32+F31+F30+F29+F28+F27+F26)/1.2</f>
        <v>0</v>
      </c>
      <c r="G41" s="459"/>
      <c r="H41" s="460"/>
      <c r="I41" s="460"/>
      <c r="J41" s="460"/>
      <c r="K41" s="461"/>
    </row>
    <row r="42" spans="1:11" ht="26.25">
      <c r="A42" s="478"/>
      <c r="B42" s="173" t="s">
        <v>96</v>
      </c>
      <c r="C42" s="177"/>
      <c r="D42" s="151"/>
      <c r="E42" s="151"/>
      <c r="F42" s="388"/>
      <c r="G42" s="462"/>
      <c r="H42" s="463"/>
      <c r="I42" s="463"/>
      <c r="J42" s="463"/>
      <c r="K42" s="464"/>
    </row>
    <row r="43" spans="1:11" ht="15.75">
      <c r="A43" s="478"/>
      <c r="B43" s="173" t="s">
        <v>55</v>
      </c>
      <c r="C43" s="177">
        <f>(C40-C41)*0.4</f>
        <v>494.58666666666653</v>
      </c>
      <c r="D43" s="151">
        <f>(D40-D41)*0.4</f>
        <v>8.639999999999999</v>
      </c>
      <c r="E43" s="151">
        <f>(E40-E41)*0.4</f>
        <v>0</v>
      </c>
      <c r="F43" s="388">
        <f>(F40-F41)*0.4</f>
        <v>0</v>
      </c>
      <c r="G43" s="462"/>
      <c r="H43" s="463"/>
      <c r="I43" s="463"/>
      <c r="J43" s="463"/>
      <c r="K43" s="464"/>
    </row>
    <row r="44" spans="1:11" ht="16.5" thickBot="1">
      <c r="A44" s="479"/>
      <c r="B44" s="175" t="s">
        <v>104</v>
      </c>
      <c r="C44" s="178">
        <f>(C40-C41)*0.6</f>
        <v>741.8799999999998</v>
      </c>
      <c r="D44" s="157">
        <f>(D40-D41)*0.6</f>
        <v>12.959999999999996</v>
      </c>
      <c r="E44" s="157">
        <f>(E40-E41)*0.6</f>
        <v>0</v>
      </c>
      <c r="F44" s="389">
        <f>(F40-F41)*0.6</f>
        <v>0</v>
      </c>
      <c r="G44" s="465"/>
      <c r="H44" s="466"/>
      <c r="I44" s="466"/>
      <c r="J44" s="466"/>
      <c r="K44" s="467"/>
    </row>
    <row r="45" spans="1:11" ht="15.75">
      <c r="A45" s="97"/>
      <c r="B45" s="124" t="s">
        <v>84</v>
      </c>
      <c r="C45" s="108"/>
      <c r="D45" s="120"/>
      <c r="E45" s="131"/>
      <c r="F45" s="131"/>
      <c r="G45" s="103"/>
      <c r="H45" s="103"/>
      <c r="I45" s="108"/>
      <c r="J45" s="108"/>
      <c r="K45" s="109"/>
    </row>
    <row r="46" spans="1:11" ht="15.75">
      <c r="A46" s="97">
        <v>16</v>
      </c>
      <c r="B46" s="119" t="s">
        <v>90</v>
      </c>
      <c r="C46" s="108">
        <v>3330.6</v>
      </c>
      <c r="D46" s="117"/>
      <c r="E46" s="131"/>
      <c r="F46" s="131">
        <v>705</v>
      </c>
      <c r="G46" s="103">
        <f>C46+D46+E46+F46</f>
        <v>4035.6</v>
      </c>
      <c r="H46" s="103"/>
      <c r="I46" s="108">
        <f>G46</f>
        <v>4035.6</v>
      </c>
      <c r="J46" s="108"/>
      <c r="K46" s="99"/>
    </row>
    <row r="47" spans="1:11" ht="26.25">
      <c r="A47" s="97">
        <v>17</v>
      </c>
      <c r="B47" s="95" t="s">
        <v>92</v>
      </c>
      <c r="C47" s="108"/>
      <c r="D47" s="120"/>
      <c r="E47" s="131"/>
      <c r="F47" s="131"/>
      <c r="G47" s="103">
        <f>C47+D47+E47+F47</f>
        <v>0</v>
      </c>
      <c r="H47" s="103"/>
      <c r="I47" s="108">
        <f>G47</f>
        <v>0</v>
      </c>
      <c r="J47" s="108"/>
      <c r="K47" s="99"/>
    </row>
    <row r="48" spans="1:11" ht="39">
      <c r="A48" s="97">
        <v>18</v>
      </c>
      <c r="B48" s="119" t="s">
        <v>91</v>
      </c>
      <c r="C48" s="108">
        <v>1665.3</v>
      </c>
      <c r="D48" s="120"/>
      <c r="E48" s="131"/>
      <c r="F48" s="131">
        <v>3760</v>
      </c>
      <c r="G48" s="103">
        <f>C48+D48+E48+F48</f>
        <v>5425.3</v>
      </c>
      <c r="H48" s="103"/>
      <c r="I48" s="108">
        <f>G48</f>
        <v>5425.3</v>
      </c>
      <c r="J48" s="108"/>
      <c r="K48" s="99"/>
    </row>
    <row r="49" spans="1:11" ht="24.75">
      <c r="A49" s="97">
        <v>19</v>
      </c>
      <c r="B49" s="121" t="s">
        <v>89</v>
      </c>
      <c r="C49" s="108"/>
      <c r="D49" s="120"/>
      <c r="E49" s="131"/>
      <c r="F49" s="131"/>
      <c r="G49" s="103"/>
      <c r="H49" s="103"/>
      <c r="I49" s="108"/>
      <c r="J49" s="108"/>
      <c r="K49" s="99"/>
    </row>
    <row r="50" spans="1:11" ht="37.5" thickBot="1">
      <c r="A50" s="97">
        <v>20</v>
      </c>
      <c r="B50" s="121" t="s">
        <v>93</v>
      </c>
      <c r="C50" s="108"/>
      <c r="D50" s="120"/>
      <c r="E50" s="131"/>
      <c r="F50" s="131"/>
      <c r="G50" s="103"/>
      <c r="H50" s="103"/>
      <c r="I50" s="108"/>
      <c r="J50" s="108"/>
      <c r="K50" s="99"/>
    </row>
    <row r="51" spans="1:11" s="88" customFormat="1" ht="27" thickBot="1">
      <c r="A51" s="480"/>
      <c r="B51" s="169" t="s">
        <v>105</v>
      </c>
      <c r="C51" s="176">
        <f>SUM(C46:C50)</f>
        <v>4995.9</v>
      </c>
      <c r="D51" s="176"/>
      <c r="E51" s="176"/>
      <c r="F51" s="176">
        <f>SUM(F46:F50)</f>
        <v>4465</v>
      </c>
      <c r="G51" s="181">
        <f>SUM(G46:G50)</f>
        <v>9460.9</v>
      </c>
      <c r="H51" s="181"/>
      <c r="I51" s="181">
        <f>SUM(I46:I50)</f>
        <v>9460.9</v>
      </c>
      <c r="J51" s="181"/>
      <c r="K51" s="184"/>
    </row>
    <row r="52" spans="1:11" ht="15.75">
      <c r="A52" s="481"/>
      <c r="B52" s="172" t="s">
        <v>53</v>
      </c>
      <c r="C52" s="177"/>
      <c r="D52" s="151"/>
      <c r="E52" s="151"/>
      <c r="F52" s="388"/>
      <c r="G52" s="474"/>
      <c r="H52" s="475"/>
      <c r="I52" s="475"/>
      <c r="J52" s="475"/>
      <c r="K52" s="476"/>
    </row>
    <row r="53" spans="1:11" ht="26.25">
      <c r="A53" s="481"/>
      <c r="B53" s="173" t="s">
        <v>96</v>
      </c>
      <c r="C53" s="177">
        <f>SUM(C46:C50)</f>
        <v>4995.9</v>
      </c>
      <c r="D53" s="177"/>
      <c r="E53" s="177"/>
      <c r="F53" s="177">
        <f>SUM(F46:F50)</f>
        <v>4465</v>
      </c>
      <c r="G53" s="432"/>
      <c r="H53" s="433"/>
      <c r="I53" s="433"/>
      <c r="J53" s="433"/>
      <c r="K53" s="434"/>
    </row>
    <row r="54" spans="1:11" ht="15.75">
      <c r="A54" s="481"/>
      <c r="B54" s="173" t="s">
        <v>55</v>
      </c>
      <c r="C54" s="177"/>
      <c r="D54" s="151"/>
      <c r="E54" s="151"/>
      <c r="F54" s="388"/>
      <c r="G54" s="432"/>
      <c r="H54" s="433"/>
      <c r="I54" s="433"/>
      <c r="J54" s="433"/>
      <c r="K54" s="434"/>
    </row>
    <row r="55" spans="1:11" ht="16.5" thickBot="1">
      <c r="A55" s="481"/>
      <c r="B55" s="175" t="s">
        <v>104</v>
      </c>
      <c r="C55" s="178"/>
      <c r="D55" s="157"/>
      <c r="E55" s="157"/>
      <c r="F55" s="389"/>
      <c r="G55" s="435"/>
      <c r="H55" s="436"/>
      <c r="I55" s="436"/>
      <c r="J55" s="436"/>
      <c r="K55" s="437"/>
    </row>
    <row r="56" spans="1:11" ht="16.5" thickBot="1">
      <c r="A56" s="163"/>
      <c r="B56" s="164"/>
      <c r="C56" s="164"/>
      <c r="D56" s="164"/>
      <c r="E56" s="187"/>
      <c r="F56" s="187"/>
      <c r="G56" s="164"/>
      <c r="H56" s="164"/>
      <c r="I56" s="164"/>
      <c r="J56" s="164"/>
      <c r="K56" s="185"/>
    </row>
    <row r="57" spans="1:11" ht="27" thickBot="1">
      <c r="A57" s="482"/>
      <c r="B57" s="168" t="s">
        <v>106</v>
      </c>
      <c r="C57" s="170">
        <f>C51+C40+C20</f>
        <v>28960.9</v>
      </c>
      <c r="D57" s="170">
        <f aca="true" t="shared" si="4" ref="D57:K57">D51+D40+D20</f>
        <v>4535.3</v>
      </c>
      <c r="E57" s="170">
        <f t="shared" si="4"/>
        <v>57690.7</v>
      </c>
      <c r="F57" s="170">
        <f t="shared" si="4"/>
        <v>7496.5</v>
      </c>
      <c r="G57" s="390">
        <f t="shared" si="4"/>
        <v>98683.4</v>
      </c>
      <c r="H57" s="179">
        <f t="shared" si="4"/>
        <v>51857.88921568628</v>
      </c>
      <c r="I57" s="179">
        <f t="shared" si="4"/>
        <v>9460.9</v>
      </c>
      <c r="J57" s="179">
        <f t="shared" si="4"/>
        <v>14945.844313725493</v>
      </c>
      <c r="K57" s="180">
        <f t="shared" si="4"/>
        <v>22418.766470588234</v>
      </c>
    </row>
    <row r="58" spans="1:11" ht="15.75">
      <c r="A58" s="482"/>
      <c r="B58" s="182" t="s">
        <v>53</v>
      </c>
      <c r="C58" s="151">
        <f aca="true" t="shared" si="5" ref="C58:F61">C52+C41+C21</f>
        <v>15915.392156862745</v>
      </c>
      <c r="D58" s="151">
        <f t="shared" si="5"/>
        <v>2625.7617647058823</v>
      </c>
      <c r="E58" s="151">
        <f t="shared" si="5"/>
        <v>31533.5</v>
      </c>
      <c r="F58" s="388">
        <f t="shared" si="5"/>
        <v>1783.235294117647</v>
      </c>
      <c r="G58" s="447"/>
      <c r="H58" s="448"/>
      <c r="I58" s="448"/>
      <c r="J58" s="448"/>
      <c r="K58" s="449"/>
    </row>
    <row r="59" spans="1:11" ht="26.25">
      <c r="A59" s="482"/>
      <c r="B59" s="182" t="s">
        <v>96</v>
      </c>
      <c r="C59" s="151">
        <f t="shared" si="5"/>
        <v>4995.9</v>
      </c>
      <c r="D59" s="151"/>
      <c r="E59" s="151"/>
      <c r="F59" s="151">
        <f t="shared" si="5"/>
        <v>4465</v>
      </c>
      <c r="G59" s="468"/>
      <c r="H59" s="469"/>
      <c r="I59" s="469"/>
      <c r="J59" s="469"/>
      <c r="K59" s="470"/>
    </row>
    <row r="60" spans="1:11" ht="15.75">
      <c r="A60" s="482"/>
      <c r="B60" s="182" t="s">
        <v>55</v>
      </c>
      <c r="C60" s="151">
        <f t="shared" si="5"/>
        <v>3219.843137254902</v>
      </c>
      <c r="D60" s="151">
        <f t="shared" si="5"/>
        <v>763.815294117647</v>
      </c>
      <c r="E60" s="151">
        <f t="shared" si="5"/>
        <v>10462.88</v>
      </c>
      <c r="F60" s="388">
        <f t="shared" si="5"/>
        <v>499.3058823529412</v>
      </c>
      <c r="G60" s="468"/>
      <c r="H60" s="469"/>
      <c r="I60" s="469"/>
      <c r="J60" s="469"/>
      <c r="K60" s="470"/>
    </row>
    <row r="61" spans="1:11" ht="16.5" thickBot="1">
      <c r="A61" s="483"/>
      <c r="B61" s="183" t="s">
        <v>104</v>
      </c>
      <c r="C61" s="157">
        <f t="shared" si="5"/>
        <v>4829.764705882352</v>
      </c>
      <c r="D61" s="157">
        <f t="shared" si="5"/>
        <v>1145.7229411764704</v>
      </c>
      <c r="E61" s="157">
        <f t="shared" si="5"/>
        <v>15694.319999999998</v>
      </c>
      <c r="F61" s="389">
        <f t="shared" si="5"/>
        <v>748.9588235294117</v>
      </c>
      <c r="G61" s="471"/>
      <c r="H61" s="472"/>
      <c r="I61" s="472"/>
      <c r="J61" s="472"/>
      <c r="K61" s="473"/>
    </row>
  </sheetData>
  <sheetProtection selectLockedCells="1" selectUnlockedCells="1"/>
  <mergeCells count="19">
    <mergeCell ref="G41:K44"/>
    <mergeCell ref="G58:K61"/>
    <mergeCell ref="G52:K55"/>
    <mergeCell ref="A40:A44"/>
    <mergeCell ref="A51:A55"/>
    <mergeCell ref="A57:A61"/>
    <mergeCell ref="A1:J1"/>
    <mergeCell ref="A2:A4"/>
    <mergeCell ref="B2:B4"/>
    <mergeCell ref="C2:C4"/>
    <mergeCell ref="D2:D4"/>
    <mergeCell ref="I2:I4"/>
    <mergeCell ref="K2:K4"/>
    <mergeCell ref="G21:K24"/>
    <mergeCell ref="J2:J4"/>
    <mergeCell ref="E2:E4"/>
    <mergeCell ref="G2:G4"/>
    <mergeCell ref="F2:F4"/>
    <mergeCell ref="H2:H4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portrait" paperSize="9" scale="70" r:id="rId1"/>
  <rowBreaks count="1" manualBreakCount="1">
    <brk id="4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Q61"/>
  <sheetViews>
    <sheetView zoomScale="70" zoomScaleNormal="70" zoomScaleSheetLayoutView="100" zoomScalePageLayoutView="0" workbookViewId="0" topLeftCell="A19">
      <selection activeCell="F6" sqref="F6:F39"/>
    </sheetView>
  </sheetViews>
  <sheetFormatPr defaultColWidth="9.140625" defaultRowHeight="15"/>
  <cols>
    <col min="1" max="1" width="4.57421875" style="118" customWidth="1"/>
    <col min="2" max="2" width="14.8515625" style="118" customWidth="1"/>
    <col min="3" max="3" width="9.421875" style="118" customWidth="1"/>
    <col min="4" max="4" width="9.7109375" style="118" customWidth="1"/>
    <col min="5" max="6" width="13.140625" style="118" customWidth="1"/>
    <col min="7" max="8" width="9.421875" style="118" hidden="1" customWidth="1"/>
    <col min="9" max="9" width="11.140625" style="118" customWidth="1"/>
    <col min="10" max="11" width="14.140625" style="118" customWidth="1"/>
    <col min="12" max="12" width="13.28125" style="118" customWidth="1"/>
    <col min="13" max="13" width="17.421875" style="118" customWidth="1"/>
    <col min="14" max="14" width="8.57421875" style="118" customWidth="1"/>
    <col min="15" max="15" width="9.7109375" style="118" customWidth="1"/>
    <col min="16" max="16" width="10.8515625" style="118" customWidth="1"/>
    <col min="17" max="17" width="11.28125" style="130" customWidth="1"/>
    <col min="18" max="16384" width="9.140625" style="130" customWidth="1"/>
  </cols>
  <sheetData>
    <row r="1" spans="1:16" ht="16.5" thickBot="1">
      <c r="A1" s="153"/>
      <c r="B1" s="154"/>
      <c r="C1" s="484" t="s">
        <v>22</v>
      </c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5"/>
    </row>
    <row r="2" spans="1:17" s="118" customFormat="1" ht="50.25" customHeight="1">
      <c r="A2" s="450" t="s">
        <v>0</v>
      </c>
      <c r="B2" s="438" t="s">
        <v>68</v>
      </c>
      <c r="C2" s="453" t="s">
        <v>87</v>
      </c>
      <c r="D2" s="453" t="s">
        <v>65</v>
      </c>
      <c r="E2" s="453" t="s">
        <v>61</v>
      </c>
      <c r="F2" s="453"/>
      <c r="G2" s="453"/>
      <c r="H2" s="453"/>
      <c r="I2" s="453"/>
      <c r="J2" s="453"/>
      <c r="K2" s="453"/>
      <c r="L2" s="456" t="s">
        <v>36</v>
      </c>
      <c r="M2" s="438" t="s">
        <v>54</v>
      </c>
      <c r="N2" s="444" t="s">
        <v>53</v>
      </c>
      <c r="O2" s="444" t="s">
        <v>96</v>
      </c>
      <c r="P2" s="438" t="s">
        <v>55</v>
      </c>
      <c r="Q2" s="426" t="s">
        <v>104</v>
      </c>
    </row>
    <row r="3" spans="1:17" s="118" customFormat="1" ht="50.25" customHeight="1">
      <c r="A3" s="451"/>
      <c r="B3" s="439"/>
      <c r="C3" s="454"/>
      <c r="D3" s="454"/>
      <c r="E3" s="454" t="s">
        <v>94</v>
      </c>
      <c r="F3" s="364"/>
      <c r="G3" s="454" t="s">
        <v>99</v>
      </c>
      <c r="H3" s="454"/>
      <c r="I3" s="454"/>
      <c r="J3" s="454"/>
      <c r="K3" s="454"/>
      <c r="L3" s="457"/>
      <c r="M3" s="439"/>
      <c r="N3" s="445"/>
      <c r="O3" s="445"/>
      <c r="P3" s="439"/>
      <c r="Q3" s="427"/>
    </row>
    <row r="4" spans="1:17" s="118" customFormat="1" ht="87.75" customHeight="1" thickBot="1">
      <c r="A4" s="452"/>
      <c r="B4" s="440"/>
      <c r="C4" s="455"/>
      <c r="D4" s="455"/>
      <c r="E4" s="455"/>
      <c r="F4" s="122"/>
      <c r="G4" s="122" t="s">
        <v>152</v>
      </c>
      <c r="H4" s="122" t="s">
        <v>151</v>
      </c>
      <c r="I4" s="122" t="s">
        <v>95</v>
      </c>
      <c r="J4" s="122" t="s">
        <v>97</v>
      </c>
      <c r="K4" s="122" t="s">
        <v>98</v>
      </c>
      <c r="L4" s="458"/>
      <c r="M4" s="440"/>
      <c r="N4" s="446"/>
      <c r="O4" s="446"/>
      <c r="P4" s="440"/>
      <c r="Q4" s="428"/>
    </row>
    <row r="5" spans="1:17" ht="15.75">
      <c r="A5" s="128"/>
      <c r="B5" s="125" t="s">
        <v>12</v>
      </c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6"/>
      <c r="N5" s="126"/>
      <c r="O5" s="126"/>
      <c r="P5" s="126"/>
      <c r="Q5" s="207"/>
    </row>
    <row r="6" spans="1:17" s="111" customFormat="1" ht="15.75">
      <c r="A6" s="97">
        <v>1</v>
      </c>
      <c r="B6" s="95" t="s">
        <v>3</v>
      </c>
      <c r="C6" s="108"/>
      <c r="D6" s="108"/>
      <c r="E6" s="108">
        <f aca="true" t="shared" si="0" ref="E6:E19">G6+H6+I6</f>
        <v>46725.119999999995</v>
      </c>
      <c r="F6" s="108">
        <f>G6+H6</f>
        <v>44185.119999999995</v>
      </c>
      <c r="G6" s="108">
        <v>30013.07</v>
      </c>
      <c r="H6" s="108">
        <v>14172.05</v>
      </c>
      <c r="I6" s="108">
        <v>2540</v>
      </c>
      <c r="J6" s="108">
        <v>1740</v>
      </c>
      <c r="K6" s="108">
        <v>800</v>
      </c>
      <c r="L6" s="108"/>
      <c r="M6" s="129">
        <f aca="true" t="shared" si="1" ref="M6:M19">C6+D6+E6+L6</f>
        <v>46725.119999999995</v>
      </c>
      <c r="N6" s="108"/>
      <c r="O6" s="108">
        <f>J6</f>
        <v>1740</v>
      </c>
      <c r="P6" s="108">
        <f>((((C6+L6)/1.7)*0.7)*0.4)+K6+H6</f>
        <v>14972.05</v>
      </c>
      <c r="Q6" s="109">
        <f>((((C6+L6)/1.7)*0.7)*0.6)+G6</f>
        <v>30013.07</v>
      </c>
    </row>
    <row r="7" spans="1:17" s="111" customFormat="1" ht="15.75">
      <c r="A7" s="97">
        <f aca="true" t="shared" si="2" ref="A7:A19">A6+1</f>
        <v>2</v>
      </c>
      <c r="B7" s="95" t="s">
        <v>2</v>
      </c>
      <c r="C7" s="108"/>
      <c r="D7" s="108"/>
      <c r="E7" s="108">
        <f t="shared" si="0"/>
        <v>150</v>
      </c>
      <c r="F7" s="108">
        <f aca="true" t="shared" si="3" ref="F7:F19">G7+H7</f>
        <v>0</v>
      </c>
      <c r="G7" s="108"/>
      <c r="H7" s="108"/>
      <c r="I7" s="108">
        <v>150</v>
      </c>
      <c r="J7" s="108">
        <v>100</v>
      </c>
      <c r="K7" s="108">
        <v>50</v>
      </c>
      <c r="L7" s="108"/>
      <c r="M7" s="129">
        <f t="shared" si="1"/>
        <v>150</v>
      </c>
      <c r="N7" s="108"/>
      <c r="O7" s="108">
        <f aca="true" t="shared" si="4" ref="O7:O19">J7</f>
        <v>100</v>
      </c>
      <c r="P7" s="108">
        <f aca="true" t="shared" si="5" ref="P7:P18">((((C7+L7)/1.7)*0.7)*0.4)+K7+H7</f>
        <v>50</v>
      </c>
      <c r="Q7" s="109"/>
    </row>
    <row r="8" spans="1:17" s="111" customFormat="1" ht="15.75">
      <c r="A8" s="97">
        <f t="shared" si="2"/>
        <v>3</v>
      </c>
      <c r="B8" s="95" t="s">
        <v>6</v>
      </c>
      <c r="C8" s="108">
        <v>6180</v>
      </c>
      <c r="D8" s="108"/>
      <c r="E8" s="108">
        <f t="shared" si="0"/>
        <v>25353.1</v>
      </c>
      <c r="F8" s="108">
        <f t="shared" si="3"/>
        <v>24033.1</v>
      </c>
      <c r="G8" s="108">
        <v>16408.2</v>
      </c>
      <c r="H8" s="108">
        <v>7624.9</v>
      </c>
      <c r="I8" s="108">
        <v>1320</v>
      </c>
      <c r="J8" s="108">
        <v>920</v>
      </c>
      <c r="K8" s="108">
        <v>400</v>
      </c>
      <c r="L8" s="108"/>
      <c r="M8" s="129">
        <f t="shared" si="1"/>
        <v>31533.1</v>
      </c>
      <c r="N8" s="108">
        <f>((C8+L8)/1.7)+D8</f>
        <v>3635.294117647059</v>
      </c>
      <c r="O8" s="108">
        <f t="shared" si="4"/>
        <v>920</v>
      </c>
      <c r="P8" s="108">
        <f t="shared" si="5"/>
        <v>9042.782352941176</v>
      </c>
      <c r="Q8" s="109">
        <f>((((C8+L8)/1.7)*0.7)*0.6)+G8</f>
        <v>17935.023529411767</v>
      </c>
    </row>
    <row r="9" spans="1:17" s="111" customFormat="1" ht="15.75">
      <c r="A9" s="97">
        <f t="shared" si="2"/>
        <v>4</v>
      </c>
      <c r="B9" s="95" t="s">
        <v>8</v>
      </c>
      <c r="C9" s="108">
        <v>450</v>
      </c>
      <c r="D9" s="108">
        <v>270</v>
      </c>
      <c r="E9" s="108">
        <f t="shared" si="0"/>
        <v>55388</v>
      </c>
      <c r="F9" s="108">
        <f t="shared" si="3"/>
        <v>55120</v>
      </c>
      <c r="G9" s="108">
        <v>41740</v>
      </c>
      <c r="H9" s="108">
        <v>13380</v>
      </c>
      <c r="I9" s="108">
        <v>268</v>
      </c>
      <c r="J9" s="108">
        <v>100</v>
      </c>
      <c r="K9" s="108">
        <v>168</v>
      </c>
      <c r="L9" s="108"/>
      <c r="M9" s="129">
        <f t="shared" si="1"/>
        <v>56108</v>
      </c>
      <c r="N9" s="108">
        <f>((C9+L9)/1.7)+D9</f>
        <v>534.7058823529412</v>
      </c>
      <c r="O9" s="108">
        <f t="shared" si="4"/>
        <v>100</v>
      </c>
      <c r="P9" s="108">
        <f t="shared" si="5"/>
        <v>13622.117647058823</v>
      </c>
      <c r="Q9" s="109">
        <f>((((C9+L9)/1.7)*0.7)*0.6)+G9</f>
        <v>41851.17647058824</v>
      </c>
    </row>
    <row r="10" spans="1:17" s="111" customFormat="1" ht="15.75">
      <c r="A10" s="97">
        <f t="shared" si="2"/>
        <v>5</v>
      </c>
      <c r="B10" s="95" t="s">
        <v>9</v>
      </c>
      <c r="C10" s="108">
        <v>5170</v>
      </c>
      <c r="D10" s="108">
        <v>180</v>
      </c>
      <c r="E10" s="108">
        <f t="shared" si="0"/>
        <v>1840</v>
      </c>
      <c r="F10" s="108">
        <f t="shared" si="3"/>
        <v>0</v>
      </c>
      <c r="G10" s="108"/>
      <c r="H10" s="108"/>
      <c r="I10" s="108">
        <v>1840</v>
      </c>
      <c r="J10" s="108">
        <v>1680</v>
      </c>
      <c r="K10" s="108">
        <v>160</v>
      </c>
      <c r="L10" s="108"/>
      <c r="M10" s="129">
        <f t="shared" si="1"/>
        <v>7190</v>
      </c>
      <c r="N10" s="108">
        <f>((C10+L10)/1.7)+D10</f>
        <v>3221.1764705882356</v>
      </c>
      <c r="O10" s="108">
        <f t="shared" si="4"/>
        <v>1680</v>
      </c>
      <c r="P10" s="108">
        <f t="shared" si="5"/>
        <v>1011.529411764706</v>
      </c>
      <c r="Q10" s="109">
        <f>((((C10+L10)/1.7)*0.7)*0.6)+G10</f>
        <v>1277.2941176470588</v>
      </c>
    </row>
    <row r="11" spans="1:17" s="111" customFormat="1" ht="15.75">
      <c r="A11" s="97">
        <f t="shared" si="2"/>
        <v>6</v>
      </c>
      <c r="B11" s="95" t="s">
        <v>7</v>
      </c>
      <c r="C11" s="108">
        <v>2000</v>
      </c>
      <c r="D11" s="108">
        <v>200</v>
      </c>
      <c r="E11" s="108">
        <f t="shared" si="0"/>
        <v>6130</v>
      </c>
      <c r="F11" s="108">
        <f t="shared" si="3"/>
        <v>4973</v>
      </c>
      <c r="G11" s="108"/>
      <c r="H11" s="108">
        <v>4973</v>
      </c>
      <c r="I11" s="108">
        <v>1157</v>
      </c>
      <c r="J11" s="108">
        <v>910</v>
      </c>
      <c r="K11" s="108">
        <v>247</v>
      </c>
      <c r="L11" s="108"/>
      <c r="M11" s="129">
        <f t="shared" si="1"/>
        <v>8330</v>
      </c>
      <c r="N11" s="108">
        <f>((C11+L11)/1.7)+D11</f>
        <v>1376.4705882352941</v>
      </c>
      <c r="O11" s="108">
        <f t="shared" si="4"/>
        <v>910</v>
      </c>
      <c r="P11" s="108">
        <f t="shared" si="5"/>
        <v>5549.411764705883</v>
      </c>
      <c r="Q11" s="109">
        <f>((((C11+L11)/1.7)*0.7)*0.6)+G11</f>
        <v>494.1176470588235</v>
      </c>
    </row>
    <row r="12" spans="1:17" s="111" customFormat="1" ht="15.75">
      <c r="A12" s="97">
        <f t="shared" si="2"/>
        <v>7</v>
      </c>
      <c r="B12" s="95" t="s">
        <v>58</v>
      </c>
      <c r="C12" s="108">
        <v>11644.2</v>
      </c>
      <c r="D12" s="108"/>
      <c r="E12" s="108">
        <f t="shared" si="0"/>
        <v>27754.5</v>
      </c>
      <c r="F12" s="108">
        <f t="shared" si="3"/>
        <v>24664.5</v>
      </c>
      <c r="G12" s="108">
        <v>19831.5</v>
      </c>
      <c r="H12" s="108">
        <v>4833</v>
      </c>
      <c r="I12" s="108">
        <v>3090</v>
      </c>
      <c r="J12" s="108">
        <v>1090</v>
      </c>
      <c r="K12" s="108">
        <v>2000</v>
      </c>
      <c r="L12" s="108"/>
      <c r="M12" s="129">
        <f t="shared" si="1"/>
        <v>39398.7</v>
      </c>
      <c r="N12" s="108">
        <f>((C12+L12)/1.7)+D12</f>
        <v>6849.529411764706</v>
      </c>
      <c r="O12" s="108">
        <f t="shared" si="4"/>
        <v>1090</v>
      </c>
      <c r="P12" s="108">
        <f t="shared" si="5"/>
        <v>8750.868235294118</v>
      </c>
      <c r="Q12" s="109">
        <f>((((C12+L12)/1.7)*0.7)*0.6)+G12</f>
        <v>22708.302352941177</v>
      </c>
    </row>
    <row r="13" spans="1:17" s="161" customFormat="1" ht="15.75">
      <c r="A13" s="162">
        <f t="shared" si="2"/>
        <v>8</v>
      </c>
      <c r="B13" s="158" t="s">
        <v>1</v>
      </c>
      <c r="C13" s="159">
        <v>2317.7</v>
      </c>
      <c r="D13" s="159"/>
      <c r="E13" s="108">
        <f t="shared" si="0"/>
        <v>406</v>
      </c>
      <c r="F13" s="108">
        <f t="shared" si="3"/>
        <v>0</v>
      </c>
      <c r="G13" s="159"/>
      <c r="H13" s="159"/>
      <c r="I13" s="159">
        <v>406</v>
      </c>
      <c r="J13" s="159">
        <v>220</v>
      </c>
      <c r="K13" s="159">
        <v>186</v>
      </c>
      <c r="L13" s="159"/>
      <c r="M13" s="160">
        <f t="shared" si="1"/>
        <v>2723.7</v>
      </c>
      <c r="N13" s="159">
        <f>((C13+L13)/2)+D13</f>
        <v>1158.85</v>
      </c>
      <c r="O13" s="108">
        <f t="shared" si="4"/>
        <v>220</v>
      </c>
      <c r="P13" s="108">
        <f>(((C13+L13)/2)*0.4)+K13+H13</f>
        <v>649.54</v>
      </c>
      <c r="Q13" s="208">
        <f>((((C13+L13)/2)*1)*0.6)+G13</f>
        <v>695.31</v>
      </c>
    </row>
    <row r="14" spans="1:17" s="111" customFormat="1" ht="15.75">
      <c r="A14" s="97">
        <f t="shared" si="2"/>
        <v>9</v>
      </c>
      <c r="B14" s="95" t="s">
        <v>66</v>
      </c>
      <c r="C14" s="108">
        <v>1330</v>
      </c>
      <c r="D14" s="108"/>
      <c r="E14" s="108">
        <f t="shared" si="0"/>
        <v>656</v>
      </c>
      <c r="F14" s="108">
        <f t="shared" si="3"/>
        <v>0</v>
      </c>
      <c r="G14" s="108"/>
      <c r="H14" s="108"/>
      <c r="I14" s="108">
        <v>656</v>
      </c>
      <c r="J14" s="108">
        <v>550</v>
      </c>
      <c r="K14" s="108">
        <v>106</v>
      </c>
      <c r="L14" s="108"/>
      <c r="M14" s="129">
        <f t="shared" si="1"/>
        <v>1986</v>
      </c>
      <c r="N14" s="108">
        <f>((C14+L14)/1.7)+D14</f>
        <v>782.3529411764706</v>
      </c>
      <c r="O14" s="108">
        <f t="shared" si="4"/>
        <v>550</v>
      </c>
      <c r="P14" s="108">
        <f t="shared" si="5"/>
        <v>325.05882352941177</v>
      </c>
      <c r="Q14" s="109">
        <f>((((C14+L14)/1.7)*0.7)*0.6)+G14</f>
        <v>328.5882352941176</v>
      </c>
    </row>
    <row r="15" spans="1:17" s="111" customFormat="1" ht="15.75">
      <c r="A15" s="97">
        <f t="shared" si="2"/>
        <v>10</v>
      </c>
      <c r="B15" s="95" t="s">
        <v>5</v>
      </c>
      <c r="C15" s="108"/>
      <c r="D15" s="108">
        <v>4000</v>
      </c>
      <c r="E15" s="108">
        <f t="shared" si="0"/>
        <v>62987.13</v>
      </c>
      <c r="F15" s="108">
        <f t="shared" si="3"/>
        <v>62107.13</v>
      </c>
      <c r="G15" s="108">
        <v>50768.85</v>
      </c>
      <c r="H15" s="108">
        <v>11338.28</v>
      </c>
      <c r="I15" s="108">
        <v>880</v>
      </c>
      <c r="J15" s="108">
        <v>600</v>
      </c>
      <c r="K15" s="108">
        <v>280</v>
      </c>
      <c r="L15" s="108"/>
      <c r="M15" s="129">
        <f t="shared" si="1"/>
        <v>66987.13</v>
      </c>
      <c r="N15" s="108">
        <f>((C15+L15)/1.7)+D15</f>
        <v>4000</v>
      </c>
      <c r="O15" s="108">
        <f t="shared" si="4"/>
        <v>600</v>
      </c>
      <c r="P15" s="108">
        <f t="shared" si="5"/>
        <v>11618.28</v>
      </c>
      <c r="Q15" s="109">
        <f>((((C15+L15)/1.7)*0.7)*0.6)+G15</f>
        <v>50768.85</v>
      </c>
    </row>
    <row r="16" spans="1:17" s="111" customFormat="1" ht="15.75">
      <c r="A16" s="97">
        <f t="shared" si="2"/>
        <v>11</v>
      </c>
      <c r="B16" s="95" t="s">
        <v>4</v>
      </c>
      <c r="C16" s="108"/>
      <c r="D16" s="108"/>
      <c r="E16" s="108">
        <f t="shared" si="0"/>
        <v>99430</v>
      </c>
      <c r="F16" s="108">
        <f t="shared" si="3"/>
        <v>98550</v>
      </c>
      <c r="G16" s="108">
        <v>49084</v>
      </c>
      <c r="H16" s="108">
        <v>49466</v>
      </c>
      <c r="I16" s="108">
        <v>880</v>
      </c>
      <c r="J16" s="108">
        <v>600</v>
      </c>
      <c r="K16" s="108">
        <v>280</v>
      </c>
      <c r="L16" s="108"/>
      <c r="M16" s="129">
        <f t="shared" si="1"/>
        <v>99430</v>
      </c>
      <c r="N16" s="108"/>
      <c r="O16" s="108">
        <f t="shared" si="4"/>
        <v>600</v>
      </c>
      <c r="P16" s="108">
        <f t="shared" si="5"/>
        <v>49746</v>
      </c>
      <c r="Q16" s="109">
        <f>((((C16+L16)/1.7)*0.7)*0.6)+G16</f>
        <v>49084</v>
      </c>
    </row>
    <row r="17" spans="1:17" s="111" customFormat="1" ht="15.75">
      <c r="A17" s="97">
        <f t="shared" si="2"/>
        <v>12</v>
      </c>
      <c r="B17" s="95" t="s">
        <v>27</v>
      </c>
      <c r="C17" s="108">
        <v>2285</v>
      </c>
      <c r="D17" s="108">
        <v>1677</v>
      </c>
      <c r="E17" s="108">
        <f t="shared" si="0"/>
        <v>9098</v>
      </c>
      <c r="F17" s="108">
        <f t="shared" si="3"/>
        <v>9078</v>
      </c>
      <c r="G17" s="108">
        <v>7803</v>
      </c>
      <c r="H17" s="108">
        <v>1275</v>
      </c>
      <c r="I17" s="108">
        <v>20</v>
      </c>
      <c r="J17" s="108">
        <v>20</v>
      </c>
      <c r="K17" s="108"/>
      <c r="L17" s="108"/>
      <c r="M17" s="129">
        <f t="shared" si="1"/>
        <v>13060</v>
      </c>
      <c r="N17" s="108">
        <f>((C17+L17)/1.7)+D17</f>
        <v>3021.1176470588234</v>
      </c>
      <c r="O17" s="108">
        <f t="shared" si="4"/>
        <v>20</v>
      </c>
      <c r="P17" s="108">
        <f t="shared" si="5"/>
        <v>1651.3529411764707</v>
      </c>
      <c r="Q17" s="109">
        <f>((((C17+L17)/1.7)*0.7)*0.6)+G17</f>
        <v>8367.529411764706</v>
      </c>
    </row>
    <row r="18" spans="1:17" s="111" customFormat="1" ht="15.75">
      <c r="A18" s="97">
        <f t="shared" si="2"/>
        <v>13</v>
      </c>
      <c r="B18" s="95" t="s">
        <v>10</v>
      </c>
      <c r="C18" s="108"/>
      <c r="D18" s="108"/>
      <c r="E18" s="108">
        <f t="shared" si="0"/>
        <v>20</v>
      </c>
      <c r="F18" s="108">
        <f t="shared" si="3"/>
        <v>0</v>
      </c>
      <c r="G18" s="108"/>
      <c r="H18" s="108"/>
      <c r="I18" s="108">
        <v>20</v>
      </c>
      <c r="J18" s="108">
        <v>20</v>
      </c>
      <c r="K18" s="108"/>
      <c r="L18" s="108"/>
      <c r="M18" s="129">
        <f t="shared" si="1"/>
        <v>20</v>
      </c>
      <c r="N18" s="108"/>
      <c r="O18" s="108">
        <f t="shared" si="4"/>
        <v>20</v>
      </c>
      <c r="P18" s="108">
        <f t="shared" si="5"/>
        <v>0</v>
      </c>
      <c r="Q18" s="109"/>
    </row>
    <row r="19" spans="1:17" s="111" customFormat="1" ht="16.5" thickBot="1">
      <c r="A19" s="136">
        <f t="shared" si="2"/>
        <v>14</v>
      </c>
      <c r="B19" s="155" t="s">
        <v>35</v>
      </c>
      <c r="C19" s="139">
        <v>1578.1</v>
      </c>
      <c r="D19" s="139">
        <v>500</v>
      </c>
      <c r="E19" s="108">
        <f t="shared" si="0"/>
        <v>17406</v>
      </c>
      <c r="F19" s="108">
        <f t="shared" si="3"/>
        <v>16876</v>
      </c>
      <c r="G19" s="139">
        <v>5004</v>
      </c>
      <c r="H19" s="139">
        <v>11872</v>
      </c>
      <c r="I19" s="139">
        <v>530</v>
      </c>
      <c r="J19" s="139">
        <v>330</v>
      </c>
      <c r="K19" s="139">
        <v>200</v>
      </c>
      <c r="L19" s="139"/>
      <c r="M19" s="143">
        <f t="shared" si="1"/>
        <v>19484.1</v>
      </c>
      <c r="N19" s="139">
        <f>((C19+L19)/1.7)+D19</f>
        <v>1428.2941176470588</v>
      </c>
      <c r="O19" s="108">
        <f t="shared" si="4"/>
        <v>330</v>
      </c>
      <c r="P19" s="108">
        <f>((((C19+L19)/1.7)*0.7)*0.4)+K19+H19</f>
        <v>12331.922352941176</v>
      </c>
      <c r="Q19" s="140">
        <f>((((C19+L19)/1.7)*0.7)*0.6)+G19</f>
        <v>5393.883529411764</v>
      </c>
    </row>
    <row r="20" spans="1:17" s="111" customFormat="1" ht="52.5" thickBot="1">
      <c r="A20" s="191"/>
      <c r="B20" s="196" t="s">
        <v>105</v>
      </c>
      <c r="C20" s="356">
        <f>SUM(C6:C19)</f>
        <v>32955</v>
      </c>
      <c r="D20" s="356">
        <f>SUM(D6:D19)</f>
        <v>6827</v>
      </c>
      <c r="E20" s="356">
        <f>SUM(E6:E19)</f>
        <v>353343.85</v>
      </c>
      <c r="F20" s="356"/>
      <c r="G20" s="142"/>
      <c r="H20" s="142"/>
      <c r="I20" s="142"/>
      <c r="J20" s="142"/>
      <c r="K20" s="142"/>
      <c r="L20" s="142"/>
      <c r="M20" s="356">
        <f>SUM(M6:M19)</f>
        <v>393125.85</v>
      </c>
      <c r="N20" s="142">
        <f>SUM(N6:N19)</f>
        <v>26007.79117647059</v>
      </c>
      <c r="O20" s="142">
        <f>SUM(O6:O19)</f>
        <v>8880</v>
      </c>
      <c r="P20" s="142">
        <f>SUM(P6:P19)</f>
        <v>129320.91352941177</v>
      </c>
      <c r="Q20" s="197">
        <f>SUM(Q6:Q19)</f>
        <v>228917.14529411765</v>
      </c>
    </row>
    <row r="21" spans="1:17" s="111" customFormat="1" ht="26.25">
      <c r="A21" s="101"/>
      <c r="B21" s="194" t="s">
        <v>53</v>
      </c>
      <c r="C21" s="195">
        <f>((C19+C18+C17+C16+C15+C14+C12+C11+C10+C9+C8+C7+C6)/1.7)+(C13/2)</f>
        <v>19180.79117647059</v>
      </c>
      <c r="D21" s="195">
        <f>D20</f>
        <v>6827</v>
      </c>
      <c r="E21" s="167"/>
      <c r="F21" s="167"/>
      <c r="G21" s="167"/>
      <c r="H21" s="167"/>
      <c r="I21" s="167"/>
      <c r="J21" s="167"/>
      <c r="K21" s="195"/>
      <c r="L21" s="189"/>
      <c r="M21" s="486"/>
      <c r="N21" s="487"/>
      <c r="O21" s="487"/>
      <c r="P21" s="487"/>
      <c r="Q21" s="488"/>
    </row>
    <row r="22" spans="1:17" s="111" customFormat="1" ht="39">
      <c r="A22" s="101"/>
      <c r="B22" s="182" t="s">
        <v>96</v>
      </c>
      <c r="C22" s="151"/>
      <c r="D22" s="151"/>
      <c r="E22" s="174">
        <f>J19+J18+J17+J16+J15+J14+J13+J12+J11+J10+J9+J8+J7+J6</f>
        <v>8880</v>
      </c>
      <c r="F22" s="174"/>
      <c r="G22" s="108"/>
      <c r="H22" s="108"/>
      <c r="I22" s="108"/>
      <c r="J22" s="108"/>
      <c r="K22" s="108"/>
      <c r="L22" s="149"/>
      <c r="M22" s="489"/>
      <c r="N22" s="490"/>
      <c r="O22" s="490"/>
      <c r="P22" s="490"/>
      <c r="Q22" s="491"/>
    </row>
    <row r="23" spans="1:17" s="111" customFormat="1" ht="26.25">
      <c r="A23" s="101"/>
      <c r="B23" s="182" t="s">
        <v>55</v>
      </c>
      <c r="C23" s="151">
        <f>(C20-C21)*0.4</f>
        <v>5509.6835294117645</v>
      </c>
      <c r="D23" s="151"/>
      <c r="E23" s="174">
        <f>K19+K18+K17+K16+K15+K14+K13+K12+K11+K10+K9+K8+K7+K6+H6+H7+H8+H9+H10+H11+H12+H13+H14+H15+H16+H17+H18+H19</f>
        <v>123811.23</v>
      </c>
      <c r="F23" s="174"/>
      <c r="G23" s="108"/>
      <c r="H23" s="108"/>
      <c r="I23" s="108"/>
      <c r="J23" s="108"/>
      <c r="K23" s="108"/>
      <c r="L23" s="149"/>
      <c r="M23" s="489"/>
      <c r="N23" s="490"/>
      <c r="O23" s="490"/>
      <c r="P23" s="490"/>
      <c r="Q23" s="491"/>
    </row>
    <row r="24" spans="1:17" s="111" customFormat="1" ht="16.5" thickBot="1">
      <c r="A24" s="192"/>
      <c r="B24" s="183" t="s">
        <v>104</v>
      </c>
      <c r="C24" s="157">
        <f>(C20-C21)*0.6</f>
        <v>8264.525294117646</v>
      </c>
      <c r="D24" s="157"/>
      <c r="E24" s="193">
        <f>G6+G7+G8+G9+G10+G11+G12+G13+G14+G15+G16+G17+G18+G19</f>
        <v>220652.62</v>
      </c>
      <c r="F24" s="193"/>
      <c r="G24" s="166"/>
      <c r="H24" s="166"/>
      <c r="I24" s="166"/>
      <c r="J24" s="166"/>
      <c r="K24" s="166"/>
      <c r="L24" s="198"/>
      <c r="M24" s="492"/>
      <c r="N24" s="493"/>
      <c r="O24" s="493"/>
      <c r="P24" s="493"/>
      <c r="Q24" s="494"/>
    </row>
    <row r="25" spans="1:17" s="111" customFormat="1" ht="15.75">
      <c r="A25" s="209"/>
      <c r="B25" s="190" t="s">
        <v>13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210"/>
    </row>
    <row r="26" spans="1:17" s="111" customFormat="1" ht="17.25" customHeight="1">
      <c r="A26" s="97">
        <f>A25+1</f>
        <v>1</v>
      </c>
      <c r="B26" s="95" t="s">
        <v>14</v>
      </c>
      <c r="C26" s="108"/>
      <c r="D26" s="108"/>
      <c r="E26" s="108"/>
      <c r="F26" s="108">
        <f>G26+H26</f>
        <v>0</v>
      </c>
      <c r="G26" s="108"/>
      <c r="H26" s="108"/>
      <c r="I26" s="108"/>
      <c r="J26" s="108"/>
      <c r="K26" s="108"/>
      <c r="L26" s="108"/>
      <c r="M26" s="129"/>
      <c r="N26" s="108"/>
      <c r="O26" s="108"/>
      <c r="P26" s="108"/>
      <c r="Q26" s="109"/>
    </row>
    <row r="27" spans="1:17" s="111" customFormat="1" ht="15.75">
      <c r="A27" s="97">
        <f aca="true" t="shared" si="6" ref="A27:A39">A26+1</f>
        <v>2</v>
      </c>
      <c r="B27" s="120" t="s">
        <v>34</v>
      </c>
      <c r="C27" s="108"/>
      <c r="D27" s="108"/>
      <c r="E27" s="108"/>
      <c r="F27" s="108">
        <f aca="true" t="shared" si="7" ref="F27:F39">G27+H27</f>
        <v>0</v>
      </c>
      <c r="G27" s="108"/>
      <c r="H27" s="108"/>
      <c r="I27" s="108"/>
      <c r="J27" s="108"/>
      <c r="K27" s="108"/>
      <c r="L27" s="108"/>
      <c r="M27" s="129"/>
      <c r="N27" s="108"/>
      <c r="O27" s="108"/>
      <c r="P27" s="108"/>
      <c r="Q27" s="109"/>
    </row>
    <row r="28" spans="1:17" ht="15.75">
      <c r="A28" s="97">
        <f t="shared" si="6"/>
        <v>3</v>
      </c>
      <c r="B28" s="120" t="s">
        <v>16</v>
      </c>
      <c r="C28" s="108"/>
      <c r="D28" s="108"/>
      <c r="E28" s="108"/>
      <c r="F28" s="108">
        <f t="shared" si="7"/>
        <v>0</v>
      </c>
      <c r="G28" s="108"/>
      <c r="H28" s="108"/>
      <c r="I28" s="108"/>
      <c r="J28" s="108"/>
      <c r="K28" s="108"/>
      <c r="L28" s="108"/>
      <c r="M28" s="129"/>
      <c r="N28" s="108"/>
      <c r="O28" s="108"/>
      <c r="P28" s="108"/>
      <c r="Q28" s="109"/>
    </row>
    <row r="29" spans="1:17" ht="15.75">
      <c r="A29" s="97">
        <f t="shared" si="6"/>
        <v>4</v>
      </c>
      <c r="B29" s="120" t="s">
        <v>28</v>
      </c>
      <c r="C29" s="108"/>
      <c r="D29" s="108"/>
      <c r="E29" s="108"/>
      <c r="F29" s="108">
        <f t="shared" si="7"/>
        <v>0</v>
      </c>
      <c r="G29" s="108"/>
      <c r="H29" s="108"/>
      <c r="I29" s="108"/>
      <c r="J29" s="108"/>
      <c r="K29" s="108"/>
      <c r="L29" s="108"/>
      <c r="M29" s="129"/>
      <c r="N29" s="108"/>
      <c r="O29" s="108"/>
      <c r="P29" s="108"/>
      <c r="Q29" s="109"/>
    </row>
    <row r="30" spans="1:17" s="111" customFormat="1" ht="15.75">
      <c r="A30" s="97">
        <f t="shared" si="6"/>
        <v>5</v>
      </c>
      <c r="B30" s="95" t="s">
        <v>15</v>
      </c>
      <c r="C30" s="108">
        <v>1200</v>
      </c>
      <c r="D30" s="108"/>
      <c r="E30" s="108">
        <f aca="true" t="shared" si="8" ref="E30:E39">G30+H30+I30</f>
        <v>750</v>
      </c>
      <c r="F30" s="108">
        <f t="shared" si="7"/>
        <v>0</v>
      </c>
      <c r="G30" s="108"/>
      <c r="H30" s="108"/>
      <c r="I30" s="108">
        <v>750</v>
      </c>
      <c r="J30" s="108">
        <v>620</v>
      </c>
      <c r="K30" s="108">
        <v>130</v>
      </c>
      <c r="L30" s="108"/>
      <c r="M30" s="129">
        <f aca="true" t="shared" si="9" ref="M30:M39">C30+D30+E30+L30</f>
        <v>1950</v>
      </c>
      <c r="N30" s="108">
        <f aca="true" t="shared" si="10" ref="N30:N39">((C30+L30)/1.2)+D30</f>
        <v>1000</v>
      </c>
      <c r="O30" s="108">
        <f>J30</f>
        <v>620</v>
      </c>
      <c r="P30" s="108">
        <f>((((C30+L30)/1.2)*0.2)*0.4)+K30+H30</f>
        <v>210</v>
      </c>
      <c r="Q30" s="109">
        <f aca="true" t="shared" si="11" ref="Q30:Q39">((((C30+L30)/1.2)*0.2)*0.6)+G30</f>
        <v>120</v>
      </c>
    </row>
    <row r="31" spans="1:17" s="148" customFormat="1" ht="15.75">
      <c r="A31" s="145">
        <f t="shared" si="6"/>
        <v>6</v>
      </c>
      <c r="B31" s="146" t="s">
        <v>31</v>
      </c>
      <c r="C31" s="147"/>
      <c r="D31" s="147">
        <v>296</v>
      </c>
      <c r="E31" s="147">
        <f t="shared" si="8"/>
        <v>3535</v>
      </c>
      <c r="F31" s="108">
        <f t="shared" si="7"/>
        <v>3315</v>
      </c>
      <c r="G31" s="147">
        <v>1404</v>
      </c>
      <c r="H31" s="147">
        <v>1911</v>
      </c>
      <c r="I31" s="147">
        <v>220</v>
      </c>
      <c r="J31" s="147">
        <v>200</v>
      </c>
      <c r="K31" s="147">
        <v>20</v>
      </c>
      <c r="L31" s="147">
        <v>942.3</v>
      </c>
      <c r="M31" s="352">
        <f t="shared" si="9"/>
        <v>4773.3</v>
      </c>
      <c r="N31" s="147">
        <f t="shared" si="10"/>
        <v>1081.25</v>
      </c>
      <c r="O31" s="108">
        <f aca="true" t="shared" si="12" ref="O31:O39">J31</f>
        <v>200</v>
      </c>
      <c r="P31" s="108">
        <f aca="true" t="shared" si="13" ref="P31:P39">((((C31+L31)/1.2)*0.2)*0.4)+K31+H31</f>
        <v>1993.82</v>
      </c>
      <c r="Q31" s="353">
        <f t="shared" si="11"/>
        <v>1498.23</v>
      </c>
    </row>
    <row r="32" spans="1:17" ht="15.75">
      <c r="A32" s="97">
        <f t="shared" si="6"/>
        <v>7</v>
      </c>
      <c r="B32" s="120" t="s">
        <v>59</v>
      </c>
      <c r="C32" s="108">
        <v>500</v>
      </c>
      <c r="D32" s="108">
        <v>200</v>
      </c>
      <c r="E32" s="108">
        <f t="shared" si="8"/>
        <v>0</v>
      </c>
      <c r="F32" s="108">
        <f t="shared" si="7"/>
        <v>0</v>
      </c>
      <c r="G32" s="108"/>
      <c r="H32" s="108"/>
      <c r="I32" s="108"/>
      <c r="J32" s="108"/>
      <c r="K32" s="108"/>
      <c r="L32" s="108"/>
      <c r="M32" s="129">
        <f t="shared" si="9"/>
        <v>700</v>
      </c>
      <c r="N32" s="108">
        <f t="shared" si="10"/>
        <v>616.6666666666667</v>
      </c>
      <c r="O32" s="108">
        <f t="shared" si="12"/>
        <v>0</v>
      </c>
      <c r="P32" s="108">
        <f t="shared" si="13"/>
        <v>33.333333333333336</v>
      </c>
      <c r="Q32" s="109">
        <f t="shared" si="11"/>
        <v>50.00000000000001</v>
      </c>
    </row>
    <row r="33" spans="1:17" ht="15.75">
      <c r="A33" s="97">
        <f t="shared" si="6"/>
        <v>8</v>
      </c>
      <c r="B33" s="120" t="s">
        <v>29</v>
      </c>
      <c r="C33" s="108"/>
      <c r="D33" s="108"/>
      <c r="E33" s="108">
        <f t="shared" si="8"/>
        <v>0</v>
      </c>
      <c r="F33" s="108">
        <f t="shared" si="7"/>
        <v>0</v>
      </c>
      <c r="G33" s="108"/>
      <c r="H33" s="108"/>
      <c r="I33" s="108"/>
      <c r="J33" s="108"/>
      <c r="K33" s="108"/>
      <c r="L33" s="108"/>
      <c r="M33" s="129">
        <f t="shared" si="9"/>
        <v>0</v>
      </c>
      <c r="N33" s="108">
        <f t="shared" si="10"/>
        <v>0</v>
      </c>
      <c r="O33" s="108">
        <f t="shared" si="12"/>
        <v>0</v>
      </c>
      <c r="P33" s="108">
        <f t="shared" si="13"/>
        <v>0</v>
      </c>
      <c r="Q33" s="109">
        <f t="shared" si="11"/>
        <v>0</v>
      </c>
    </row>
    <row r="34" spans="1:17" ht="15.75">
      <c r="A34" s="97">
        <f t="shared" si="6"/>
        <v>9</v>
      </c>
      <c r="B34" s="120" t="s">
        <v>41</v>
      </c>
      <c r="C34" s="108"/>
      <c r="D34" s="108">
        <v>600</v>
      </c>
      <c r="E34" s="108">
        <f t="shared" si="8"/>
        <v>20122</v>
      </c>
      <c r="F34" s="108">
        <f t="shared" si="7"/>
        <v>19592</v>
      </c>
      <c r="G34" s="108">
        <v>15698</v>
      </c>
      <c r="H34" s="108">
        <v>3894</v>
      </c>
      <c r="I34" s="108">
        <v>530</v>
      </c>
      <c r="J34" s="108">
        <v>330</v>
      </c>
      <c r="K34" s="108">
        <v>200</v>
      </c>
      <c r="L34" s="108"/>
      <c r="M34" s="129">
        <f t="shared" si="9"/>
        <v>20722</v>
      </c>
      <c r="N34" s="108">
        <f t="shared" si="10"/>
        <v>600</v>
      </c>
      <c r="O34" s="108">
        <f t="shared" si="12"/>
        <v>330</v>
      </c>
      <c r="P34" s="108">
        <f t="shared" si="13"/>
        <v>4094</v>
      </c>
      <c r="Q34" s="109">
        <f t="shared" si="11"/>
        <v>15698</v>
      </c>
    </row>
    <row r="35" spans="1:17" ht="15.75">
      <c r="A35" s="97">
        <f t="shared" si="6"/>
        <v>10</v>
      </c>
      <c r="B35" s="120" t="s">
        <v>32</v>
      </c>
      <c r="C35" s="108">
        <v>550</v>
      </c>
      <c r="D35" s="108">
        <v>110</v>
      </c>
      <c r="E35" s="108">
        <f t="shared" si="8"/>
        <v>5036</v>
      </c>
      <c r="F35" s="108">
        <f t="shared" si="7"/>
        <v>3816</v>
      </c>
      <c r="G35" s="108">
        <v>2583</v>
      </c>
      <c r="H35" s="108">
        <v>1233</v>
      </c>
      <c r="I35" s="108">
        <v>1220</v>
      </c>
      <c r="J35" s="108">
        <v>1200</v>
      </c>
      <c r="K35" s="108">
        <v>20</v>
      </c>
      <c r="L35" s="108">
        <v>2020</v>
      </c>
      <c r="M35" s="129">
        <f t="shared" si="9"/>
        <v>7716</v>
      </c>
      <c r="N35" s="108">
        <f t="shared" si="10"/>
        <v>2251.666666666667</v>
      </c>
      <c r="O35" s="108">
        <f t="shared" si="12"/>
        <v>1200</v>
      </c>
      <c r="P35" s="108">
        <f t="shared" si="13"/>
        <v>1424.3333333333335</v>
      </c>
      <c r="Q35" s="109">
        <f t="shared" si="11"/>
        <v>2840</v>
      </c>
    </row>
    <row r="36" spans="1:17" ht="15.75">
      <c r="A36" s="97">
        <f t="shared" si="6"/>
        <v>11</v>
      </c>
      <c r="B36" s="120" t="s">
        <v>42</v>
      </c>
      <c r="C36" s="108"/>
      <c r="D36" s="108"/>
      <c r="E36" s="108">
        <f t="shared" si="8"/>
        <v>23</v>
      </c>
      <c r="F36" s="108">
        <f t="shared" si="7"/>
        <v>0</v>
      </c>
      <c r="G36" s="108"/>
      <c r="H36" s="108"/>
      <c r="I36" s="108">
        <v>23</v>
      </c>
      <c r="J36" s="108">
        <v>20</v>
      </c>
      <c r="K36" s="108">
        <v>3</v>
      </c>
      <c r="L36" s="108"/>
      <c r="M36" s="129">
        <f t="shared" si="9"/>
        <v>23</v>
      </c>
      <c r="N36" s="108">
        <f t="shared" si="10"/>
        <v>0</v>
      </c>
      <c r="O36" s="108">
        <f t="shared" si="12"/>
        <v>20</v>
      </c>
      <c r="P36" s="108">
        <f t="shared" si="13"/>
        <v>3</v>
      </c>
      <c r="Q36" s="109">
        <f t="shared" si="11"/>
        <v>0</v>
      </c>
    </row>
    <row r="37" spans="1:17" ht="15.75">
      <c r="A37" s="97">
        <f t="shared" si="6"/>
        <v>12</v>
      </c>
      <c r="B37" s="120" t="s">
        <v>79</v>
      </c>
      <c r="C37" s="108"/>
      <c r="D37" s="108"/>
      <c r="E37" s="108">
        <f t="shared" si="8"/>
        <v>120</v>
      </c>
      <c r="F37" s="108">
        <f t="shared" si="7"/>
        <v>0</v>
      </c>
      <c r="G37" s="108"/>
      <c r="H37" s="108"/>
      <c r="I37" s="108">
        <v>120</v>
      </c>
      <c r="J37" s="108">
        <v>100</v>
      </c>
      <c r="K37" s="108">
        <v>20</v>
      </c>
      <c r="L37" s="108"/>
      <c r="M37" s="129">
        <f t="shared" si="9"/>
        <v>120</v>
      </c>
      <c r="N37" s="108">
        <f t="shared" si="10"/>
        <v>0</v>
      </c>
      <c r="O37" s="108">
        <f t="shared" si="12"/>
        <v>100</v>
      </c>
      <c r="P37" s="108">
        <f t="shared" si="13"/>
        <v>20</v>
      </c>
      <c r="Q37" s="109">
        <f t="shared" si="11"/>
        <v>0</v>
      </c>
    </row>
    <row r="38" spans="1:17" ht="15.75">
      <c r="A38" s="97">
        <f t="shared" si="6"/>
        <v>13</v>
      </c>
      <c r="B38" s="120" t="s">
        <v>45</v>
      </c>
      <c r="C38" s="108">
        <v>1000</v>
      </c>
      <c r="D38" s="108">
        <v>120</v>
      </c>
      <c r="E38" s="108">
        <f t="shared" si="8"/>
        <v>3580</v>
      </c>
      <c r="F38" s="108">
        <f t="shared" si="7"/>
        <v>2800</v>
      </c>
      <c r="G38" s="108">
        <v>2020.1</v>
      </c>
      <c r="H38" s="108">
        <v>779.9</v>
      </c>
      <c r="I38" s="108">
        <v>780</v>
      </c>
      <c r="J38" s="108">
        <v>650</v>
      </c>
      <c r="K38" s="108">
        <v>130</v>
      </c>
      <c r="L38" s="108">
        <v>3712.3</v>
      </c>
      <c r="M38" s="129">
        <f t="shared" si="9"/>
        <v>8412.3</v>
      </c>
      <c r="N38" s="108">
        <f t="shared" si="10"/>
        <v>4046.916666666667</v>
      </c>
      <c r="O38" s="108">
        <f t="shared" si="12"/>
        <v>650</v>
      </c>
      <c r="P38" s="108">
        <f t="shared" si="13"/>
        <v>1224.0533333333333</v>
      </c>
      <c r="Q38" s="109">
        <f t="shared" si="11"/>
        <v>2491.33</v>
      </c>
    </row>
    <row r="39" spans="1:17" ht="16.5" thickBot="1">
      <c r="A39" s="97">
        <f t="shared" si="6"/>
        <v>14</v>
      </c>
      <c r="B39" s="138" t="s">
        <v>30</v>
      </c>
      <c r="C39" s="139">
        <v>1613.5</v>
      </c>
      <c r="D39" s="139">
        <v>420</v>
      </c>
      <c r="E39" s="108">
        <f t="shared" si="8"/>
        <v>1261</v>
      </c>
      <c r="F39" s="108">
        <f t="shared" si="7"/>
        <v>1261</v>
      </c>
      <c r="G39" s="139">
        <v>654</v>
      </c>
      <c r="H39" s="139">
        <v>607</v>
      </c>
      <c r="I39" s="139"/>
      <c r="J39" s="139"/>
      <c r="K39" s="139"/>
      <c r="L39" s="139"/>
      <c r="M39" s="143">
        <f t="shared" si="9"/>
        <v>3294.5</v>
      </c>
      <c r="N39" s="139">
        <f t="shared" si="10"/>
        <v>1764.5833333333335</v>
      </c>
      <c r="O39" s="108">
        <f t="shared" si="12"/>
        <v>0</v>
      </c>
      <c r="P39" s="108">
        <f t="shared" si="13"/>
        <v>714.5666666666667</v>
      </c>
      <c r="Q39" s="140">
        <f t="shared" si="11"/>
        <v>815.35</v>
      </c>
    </row>
    <row r="40" spans="1:17" ht="52.5" thickBot="1">
      <c r="A40" s="101"/>
      <c r="B40" s="196" t="s">
        <v>105</v>
      </c>
      <c r="C40" s="141">
        <f>SUM(C26:C39)</f>
        <v>4863.5</v>
      </c>
      <c r="D40" s="141">
        <f aca="true" t="shared" si="14" ref="D40:Q40">SUM(D26:D39)</f>
        <v>1746</v>
      </c>
      <c r="E40" s="141">
        <f t="shared" si="14"/>
        <v>34427</v>
      </c>
      <c r="F40" s="141"/>
      <c r="G40" s="141"/>
      <c r="H40" s="141"/>
      <c r="I40" s="141"/>
      <c r="J40" s="141"/>
      <c r="K40" s="141"/>
      <c r="L40" s="141">
        <f t="shared" si="14"/>
        <v>6674.6</v>
      </c>
      <c r="M40" s="141">
        <f t="shared" si="14"/>
        <v>47711.100000000006</v>
      </c>
      <c r="N40" s="141">
        <f t="shared" si="14"/>
        <v>11361.083333333334</v>
      </c>
      <c r="O40" s="141">
        <f t="shared" si="14"/>
        <v>3120</v>
      </c>
      <c r="P40" s="141">
        <f t="shared" si="14"/>
        <v>9717.106666666668</v>
      </c>
      <c r="Q40" s="144">
        <f t="shared" si="14"/>
        <v>23512.909999999996</v>
      </c>
    </row>
    <row r="41" spans="1:17" ht="26.25">
      <c r="A41" s="101"/>
      <c r="B41" s="194" t="s">
        <v>53</v>
      </c>
      <c r="C41" s="195">
        <f>(C26+C27+C28+C29+C30+C31+C32+C33+C34+C35+C36+C37+C38+C39)/1.2</f>
        <v>4052.916666666667</v>
      </c>
      <c r="D41" s="127">
        <f>D40</f>
        <v>1746</v>
      </c>
      <c r="E41" s="357"/>
      <c r="F41" s="357"/>
      <c r="G41" s="195"/>
      <c r="H41" s="195"/>
      <c r="I41" s="167"/>
      <c r="J41" s="167"/>
      <c r="K41" s="167"/>
      <c r="L41" s="167">
        <f>L40/1.2</f>
        <v>5562.166666666667</v>
      </c>
      <c r="M41" s="495"/>
      <c r="N41" s="490"/>
      <c r="O41" s="490"/>
      <c r="P41" s="490"/>
      <c r="Q41" s="491"/>
    </row>
    <row r="42" spans="1:17" ht="39">
      <c r="A42" s="101"/>
      <c r="B42" s="182" t="s">
        <v>96</v>
      </c>
      <c r="C42" s="120"/>
      <c r="D42" s="150"/>
      <c r="E42" s="174">
        <f>J26+J27+J28+J29+J30+J31+J32+J33+J34+J35+J36+J37+J38+J39</f>
        <v>3120</v>
      </c>
      <c r="F42" s="174"/>
      <c r="G42" s="151"/>
      <c r="H42" s="151"/>
      <c r="I42" s="108"/>
      <c r="J42" s="108"/>
      <c r="K42" s="108"/>
      <c r="L42" s="108"/>
      <c r="M42" s="495"/>
      <c r="N42" s="490"/>
      <c r="O42" s="490"/>
      <c r="P42" s="490"/>
      <c r="Q42" s="491"/>
    </row>
    <row r="43" spans="1:17" ht="26.25">
      <c r="A43" s="101"/>
      <c r="B43" s="182" t="s">
        <v>55</v>
      </c>
      <c r="C43" s="150">
        <f>(C40-C41)*0.4</f>
        <v>324.23333333333323</v>
      </c>
      <c r="D43" s="150"/>
      <c r="E43" s="174">
        <f>K26+K27+K28+K29+K30+K31+K32+K33+K34+K35+K36+K37+K38+H26+H27+H28+H29+H30+H31+H32+H33+H34+H35+H36+H37+H38+H39+K39</f>
        <v>8947.9</v>
      </c>
      <c r="F43" s="174"/>
      <c r="G43" s="174"/>
      <c r="H43" s="174"/>
      <c r="I43" s="108"/>
      <c r="J43" s="108"/>
      <c r="K43" s="108"/>
      <c r="L43" s="108">
        <f>(L40-L41)*0.4</f>
        <v>444.97333333333336</v>
      </c>
      <c r="M43" s="495"/>
      <c r="N43" s="490"/>
      <c r="O43" s="490"/>
      <c r="P43" s="490"/>
      <c r="Q43" s="491"/>
    </row>
    <row r="44" spans="1:17" ht="16.5" thickBot="1">
      <c r="A44" s="101"/>
      <c r="B44" s="183" t="s">
        <v>104</v>
      </c>
      <c r="C44" s="120">
        <f>(C40-C41)*0.6</f>
        <v>486.3499999999998</v>
      </c>
      <c r="D44" s="150"/>
      <c r="E44" s="174">
        <f>G26+G27+G28+G29+G30+G31+G32+G33+G34+G35+G36+G37+G38+G39</f>
        <v>22359.1</v>
      </c>
      <c r="F44" s="174"/>
      <c r="G44" s="151"/>
      <c r="H44" s="151"/>
      <c r="I44" s="108"/>
      <c r="J44" s="108"/>
      <c r="K44" s="108"/>
      <c r="L44" s="108">
        <f>(L40-L41)*0.6</f>
        <v>667.46</v>
      </c>
      <c r="M44" s="496"/>
      <c r="N44" s="497"/>
      <c r="O44" s="497"/>
      <c r="P44" s="497"/>
      <c r="Q44" s="498"/>
    </row>
    <row r="45" spans="1:17" ht="16.5" thickBot="1">
      <c r="A45" s="101"/>
      <c r="B45" s="200" t="s">
        <v>84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201"/>
    </row>
    <row r="46" spans="1:17" ht="26.25">
      <c r="A46" s="97">
        <v>16</v>
      </c>
      <c r="B46" s="199" t="s">
        <v>90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88"/>
      <c r="N46" s="167"/>
      <c r="O46" s="167"/>
      <c r="P46" s="167"/>
      <c r="Q46" s="207"/>
    </row>
    <row r="47" spans="1:17" ht="51.75">
      <c r="A47" s="97">
        <v>17</v>
      </c>
      <c r="B47" s="95" t="s">
        <v>92</v>
      </c>
      <c r="C47" s="108">
        <v>6049.937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29">
        <f>C47+D47+E47+L47</f>
        <v>6049.937</v>
      </c>
      <c r="N47" s="108"/>
      <c r="O47" s="108">
        <f>C47+D47+E47+L47</f>
        <v>6049.937</v>
      </c>
      <c r="P47" s="108"/>
      <c r="Q47" s="211"/>
    </row>
    <row r="48" spans="1:17" ht="64.5">
      <c r="A48" s="97">
        <v>18</v>
      </c>
      <c r="B48" s="119" t="s">
        <v>91</v>
      </c>
      <c r="C48" s="108">
        <v>10320</v>
      </c>
      <c r="D48" s="108"/>
      <c r="E48" s="108"/>
      <c r="F48" s="108"/>
      <c r="G48" s="108"/>
      <c r="H48" s="108"/>
      <c r="I48" s="108"/>
      <c r="J48" s="108"/>
      <c r="K48" s="108"/>
      <c r="L48" s="108"/>
      <c r="M48" s="129">
        <f>C48+D48+E48+L48</f>
        <v>10320</v>
      </c>
      <c r="N48" s="108"/>
      <c r="O48" s="108">
        <f>C48+D48+E48+L48</f>
        <v>10320</v>
      </c>
      <c r="P48" s="108"/>
      <c r="Q48" s="211"/>
    </row>
    <row r="49" spans="1:17" ht="36.75">
      <c r="A49" s="97">
        <v>19</v>
      </c>
      <c r="B49" s="121" t="s">
        <v>89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29"/>
      <c r="N49" s="108"/>
      <c r="O49" s="108"/>
      <c r="P49" s="108"/>
      <c r="Q49" s="211"/>
    </row>
    <row r="50" spans="1:17" ht="61.5" thickBot="1">
      <c r="A50" s="136">
        <v>20</v>
      </c>
      <c r="B50" s="137" t="s">
        <v>93</v>
      </c>
      <c r="C50" s="139">
        <v>7850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43">
        <f>C50+D50+E50+L50</f>
        <v>7850</v>
      </c>
      <c r="N50" s="139"/>
      <c r="O50" s="139">
        <f>C50+D50+E50+L50</f>
        <v>7850</v>
      </c>
      <c r="P50" s="139"/>
      <c r="Q50" s="212"/>
    </row>
    <row r="51" spans="1:17" ht="52.5" thickBot="1">
      <c r="A51" s="163"/>
      <c r="B51" s="169" t="s">
        <v>105</v>
      </c>
      <c r="C51" s="186">
        <f>SUM(C46:C50)</f>
        <v>24219.936999999998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>
        <f>SUM(M46:M50)</f>
        <v>24219.936999999998</v>
      </c>
      <c r="N51" s="186">
        <f>SUM(N46:N50)</f>
        <v>0</v>
      </c>
      <c r="O51" s="186">
        <f>SUM(O46:O50)</f>
        <v>24219.936999999998</v>
      </c>
      <c r="P51" s="186">
        <f>SUM(P46:P50)</f>
        <v>0</v>
      </c>
      <c r="Q51" s="186">
        <f>SUM(Q46:Q50)</f>
        <v>0</v>
      </c>
    </row>
    <row r="52" spans="1:17" ht="26.25">
      <c r="A52" s="163"/>
      <c r="B52" s="172" t="s">
        <v>53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429"/>
      <c r="N52" s="430"/>
      <c r="O52" s="430"/>
      <c r="P52" s="430"/>
      <c r="Q52" s="431"/>
    </row>
    <row r="53" spans="1:17" ht="39">
      <c r="A53" s="163"/>
      <c r="B53" s="173" t="s">
        <v>96</v>
      </c>
      <c r="C53" s="205">
        <f>SUM(C46:C50)</f>
        <v>24219.936999999998</v>
      </c>
      <c r="D53" s="205"/>
      <c r="E53" s="205"/>
      <c r="F53" s="205"/>
      <c r="G53" s="205"/>
      <c r="H53" s="205"/>
      <c r="I53" s="205"/>
      <c r="J53" s="205"/>
      <c r="K53" s="205"/>
      <c r="L53" s="205"/>
      <c r="M53" s="432"/>
      <c r="N53" s="433"/>
      <c r="O53" s="433"/>
      <c r="P53" s="433"/>
      <c r="Q53" s="434"/>
    </row>
    <row r="54" spans="1:17" ht="26.25">
      <c r="A54" s="163"/>
      <c r="B54" s="173" t="s">
        <v>55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432"/>
      <c r="N54" s="433"/>
      <c r="O54" s="433"/>
      <c r="P54" s="433"/>
      <c r="Q54" s="434"/>
    </row>
    <row r="55" spans="1:17" ht="16.5" thickBot="1">
      <c r="A55" s="163"/>
      <c r="B55" s="175" t="s">
        <v>104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435"/>
      <c r="N55" s="436"/>
      <c r="O55" s="436"/>
      <c r="P55" s="436"/>
      <c r="Q55" s="437"/>
    </row>
    <row r="56" spans="1:17" ht="16.5" thickBot="1">
      <c r="A56" s="163"/>
      <c r="B56" s="164"/>
      <c r="C56" s="164"/>
      <c r="D56" s="164"/>
      <c r="E56" s="164"/>
      <c r="F56" s="164"/>
      <c r="G56" s="164"/>
      <c r="H56" s="187"/>
      <c r="I56" s="213"/>
      <c r="J56" s="213"/>
      <c r="K56" s="213"/>
      <c r="L56" s="213"/>
      <c r="M56" s="213"/>
      <c r="N56" s="213"/>
      <c r="O56" s="213"/>
      <c r="P56" s="213"/>
      <c r="Q56" s="214"/>
    </row>
    <row r="57" spans="1:17" ht="52.5" thickBot="1">
      <c r="A57" s="163"/>
      <c r="B57" s="202" t="s">
        <v>106</v>
      </c>
      <c r="C57" s="186">
        <f>C51+C40+C20</f>
        <v>62038.437</v>
      </c>
      <c r="D57" s="186">
        <f aca="true" t="shared" si="15" ref="D57:Q57">D51+D40+D20</f>
        <v>8573</v>
      </c>
      <c r="E57" s="354">
        <f t="shared" si="15"/>
        <v>387770.85</v>
      </c>
      <c r="F57" s="354"/>
      <c r="G57" s="186"/>
      <c r="H57" s="186"/>
      <c r="I57" s="186"/>
      <c r="J57" s="186"/>
      <c r="K57" s="186"/>
      <c r="L57" s="186">
        <f t="shared" si="15"/>
        <v>6674.6</v>
      </c>
      <c r="M57" s="354">
        <f t="shared" si="15"/>
        <v>465056.887</v>
      </c>
      <c r="N57" s="186">
        <f t="shared" si="15"/>
        <v>37368.87450980392</v>
      </c>
      <c r="O57" s="186">
        <f t="shared" si="15"/>
        <v>36219.937</v>
      </c>
      <c r="P57" s="186">
        <f t="shared" si="15"/>
        <v>139038.02019607843</v>
      </c>
      <c r="Q57" s="186">
        <f t="shared" si="15"/>
        <v>252430.05529411766</v>
      </c>
    </row>
    <row r="58" spans="1:17" ht="27" thickBot="1">
      <c r="A58" s="163"/>
      <c r="B58" s="203" t="s">
        <v>53</v>
      </c>
      <c r="C58" s="186">
        <f>C52+C41+C21</f>
        <v>23233.707843137257</v>
      </c>
      <c r="D58" s="205">
        <f>D52+D41+D21</f>
        <v>8573</v>
      </c>
      <c r="E58" s="325"/>
      <c r="F58" s="325"/>
      <c r="G58" s="205"/>
      <c r="H58" s="205"/>
      <c r="I58" s="205"/>
      <c r="J58" s="205"/>
      <c r="K58" s="205"/>
      <c r="L58" s="205">
        <f>L52+L41+L21</f>
        <v>5562.166666666667</v>
      </c>
      <c r="M58" s="429"/>
      <c r="N58" s="430"/>
      <c r="O58" s="430"/>
      <c r="P58" s="430"/>
      <c r="Q58" s="431"/>
    </row>
    <row r="59" spans="1:17" ht="39.75" thickBot="1">
      <c r="A59" s="163"/>
      <c r="B59" s="203" t="s">
        <v>96</v>
      </c>
      <c r="C59" s="186">
        <f>C53+C42+C22</f>
        <v>24219.936999999998</v>
      </c>
      <c r="D59" s="205"/>
      <c r="E59" s="358">
        <f>E53+E42+E22</f>
        <v>12000</v>
      </c>
      <c r="F59" s="358"/>
      <c r="G59" s="205"/>
      <c r="H59" s="205"/>
      <c r="I59" s="205"/>
      <c r="J59" s="205"/>
      <c r="K59" s="205"/>
      <c r="L59" s="205"/>
      <c r="M59" s="432"/>
      <c r="N59" s="433"/>
      <c r="O59" s="433"/>
      <c r="P59" s="433"/>
      <c r="Q59" s="434"/>
    </row>
    <row r="60" spans="1:17" ht="27" thickBot="1">
      <c r="A60" s="163"/>
      <c r="B60" s="203" t="s">
        <v>55</v>
      </c>
      <c r="C60" s="186">
        <f>C54+C43+C23</f>
        <v>5833.916862745098</v>
      </c>
      <c r="D60" s="205"/>
      <c r="E60" s="358">
        <f>E54+E43+E23</f>
        <v>132759.13</v>
      </c>
      <c r="F60" s="358"/>
      <c r="G60" s="205"/>
      <c r="H60" s="205"/>
      <c r="I60" s="205"/>
      <c r="J60" s="205"/>
      <c r="K60" s="205"/>
      <c r="L60" s="205">
        <f>L54+L43+L23</f>
        <v>444.97333333333336</v>
      </c>
      <c r="M60" s="432"/>
      <c r="N60" s="433"/>
      <c r="O60" s="433"/>
      <c r="P60" s="433"/>
      <c r="Q60" s="434"/>
    </row>
    <row r="61" spans="1:17" ht="16.5" thickBot="1">
      <c r="A61" s="165"/>
      <c r="B61" s="204" t="s">
        <v>104</v>
      </c>
      <c r="C61" s="215">
        <f>C55+C44+C24</f>
        <v>8750.875294117646</v>
      </c>
      <c r="D61" s="206"/>
      <c r="E61" s="359">
        <f>E55+E44+E24</f>
        <v>243011.72</v>
      </c>
      <c r="F61" s="359"/>
      <c r="G61" s="206"/>
      <c r="H61" s="206"/>
      <c r="I61" s="206"/>
      <c r="J61" s="206"/>
      <c r="K61" s="206"/>
      <c r="L61" s="206">
        <f>L55+L44+L24</f>
        <v>667.46</v>
      </c>
      <c r="M61" s="435"/>
      <c r="N61" s="436"/>
      <c r="O61" s="436"/>
      <c r="P61" s="436"/>
      <c r="Q61" s="437"/>
    </row>
  </sheetData>
  <sheetProtection selectLockedCells="1" selectUnlockedCells="1"/>
  <mergeCells count="18">
    <mergeCell ref="A2:A4"/>
    <mergeCell ref="B2:B4"/>
    <mergeCell ref="M2:M4"/>
    <mergeCell ref="Q2:Q4"/>
    <mergeCell ref="M21:Q24"/>
    <mergeCell ref="M41:Q44"/>
    <mergeCell ref="M58:Q61"/>
    <mergeCell ref="M52:Q55"/>
    <mergeCell ref="C1:P1"/>
    <mergeCell ref="C2:C4"/>
    <mergeCell ref="D2:D4"/>
    <mergeCell ref="L2:L4"/>
    <mergeCell ref="E3:E4"/>
    <mergeCell ref="O2:O4"/>
    <mergeCell ref="G3:K3"/>
    <mergeCell ref="E2:K2"/>
    <mergeCell ref="N2:N4"/>
    <mergeCell ref="P2:P4"/>
  </mergeCells>
  <printOptions/>
  <pageMargins left="0.31496062992125984" right="0.31496062992125984" top="0.7480314960629921" bottom="0.7480314960629921" header="0.31496062992125984" footer="0.31496062992125984"/>
  <pageSetup fitToWidth="0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H2" sqref="H2:H34"/>
    </sheetView>
  </sheetViews>
  <sheetFormatPr defaultColWidth="9.140625" defaultRowHeight="15"/>
  <cols>
    <col min="1" max="1" width="4.57421875" style="7" customWidth="1"/>
    <col min="2" max="2" width="14.8515625" style="7" customWidth="1"/>
    <col min="3" max="3" width="8.140625" style="7" hidden="1" customWidth="1"/>
    <col min="4" max="4" width="6.421875" style="7" hidden="1" customWidth="1"/>
    <col min="5" max="5" width="7.7109375" style="7" customWidth="1"/>
    <col min="6" max="6" width="9.421875" style="7" customWidth="1"/>
    <col min="7" max="7" width="9.421875" style="116" customWidth="1"/>
    <col min="8" max="8" width="10.28125" style="7" customWidth="1"/>
    <col min="9" max="10" width="9.421875" style="7" customWidth="1"/>
    <col min="11" max="12" width="8.57421875" style="7" customWidth="1"/>
    <col min="13" max="13" width="8.57421875" style="7" hidden="1" customWidth="1"/>
    <col min="14" max="18" width="8.57421875" style="7" customWidth="1"/>
    <col min="19" max="19" width="7.28125" style="7" customWidth="1"/>
    <col min="20" max="20" width="9.421875" style="7" customWidth="1"/>
    <col min="21" max="21" width="7.57421875" style="7" customWidth="1"/>
    <col min="22" max="22" width="7.8515625" style="7" customWidth="1"/>
    <col min="23" max="23" width="8.57421875" style="7" customWidth="1"/>
    <col min="24" max="28" width="9.421875" style="7" customWidth="1"/>
    <col min="29" max="29" width="10.8515625" style="7" customWidth="1"/>
    <col min="30" max="30" width="9.28125" style="73" customWidth="1"/>
    <col min="31" max="31" width="8.28125" style="7" customWidth="1"/>
    <col min="32" max="32" width="7.8515625" style="7" customWidth="1"/>
    <col min="33" max="33" width="7.57421875" style="45" customWidth="1"/>
    <col min="34" max="34" width="8.140625" style="45" customWidth="1"/>
    <col min="35" max="16384" width="9.140625" style="45" customWidth="1"/>
  </cols>
  <sheetData>
    <row r="1" spans="1:34" s="7" customFormat="1" ht="61.5" customHeight="1" thickBot="1">
      <c r="A1" s="509" t="s">
        <v>0</v>
      </c>
      <c r="B1" s="516" t="s">
        <v>68</v>
      </c>
      <c r="C1" s="34" t="s">
        <v>24</v>
      </c>
      <c r="D1" s="24"/>
      <c r="E1" s="514" t="s">
        <v>46</v>
      </c>
      <c r="F1" s="499" t="s">
        <v>17</v>
      </c>
      <c r="G1" s="518" t="s">
        <v>22</v>
      </c>
      <c r="H1" s="519"/>
      <c r="I1" s="519"/>
      <c r="J1" s="519"/>
      <c r="K1" s="520"/>
      <c r="L1" s="518" t="s">
        <v>64</v>
      </c>
      <c r="M1" s="519"/>
      <c r="N1" s="519"/>
      <c r="O1" s="520"/>
      <c r="P1" s="511" t="s">
        <v>49</v>
      </c>
      <c r="Q1" s="513" t="s">
        <v>50</v>
      </c>
      <c r="R1" s="514" t="s">
        <v>51</v>
      </c>
      <c r="S1" s="499" t="s">
        <v>18</v>
      </c>
      <c r="T1" s="499" t="s">
        <v>20</v>
      </c>
      <c r="U1" s="499" t="s">
        <v>19</v>
      </c>
      <c r="V1" s="499" t="s">
        <v>37</v>
      </c>
      <c r="W1" s="499" t="s">
        <v>38</v>
      </c>
      <c r="X1" s="499" t="s">
        <v>23</v>
      </c>
      <c r="Y1" s="499" t="s">
        <v>21</v>
      </c>
      <c r="Z1" s="505" t="s">
        <v>49</v>
      </c>
      <c r="AA1" s="501" t="s">
        <v>50</v>
      </c>
      <c r="AB1" s="503" t="s">
        <v>52</v>
      </c>
      <c r="AC1" s="505" t="s">
        <v>54</v>
      </c>
      <c r="AD1" s="507" t="s">
        <v>53</v>
      </c>
      <c r="AE1" s="501" t="s">
        <v>55</v>
      </c>
      <c r="AF1" s="503" t="s">
        <v>56</v>
      </c>
      <c r="AG1" s="6"/>
      <c r="AH1" s="499" t="s">
        <v>25</v>
      </c>
    </row>
    <row r="2" spans="1:34" s="7" customFormat="1" ht="69" customHeight="1" thickBot="1">
      <c r="A2" s="510"/>
      <c r="B2" s="517"/>
      <c r="C2" s="36" t="s">
        <v>26</v>
      </c>
      <c r="D2" s="37" t="s">
        <v>33</v>
      </c>
      <c r="E2" s="515"/>
      <c r="F2" s="500"/>
      <c r="G2" s="112" t="s">
        <v>60</v>
      </c>
      <c r="H2" s="84" t="s">
        <v>57</v>
      </c>
      <c r="I2" s="96" t="s">
        <v>65</v>
      </c>
      <c r="J2" s="90" t="s">
        <v>70</v>
      </c>
      <c r="K2" s="20" t="s">
        <v>36</v>
      </c>
      <c r="L2" s="83" t="s">
        <v>48</v>
      </c>
      <c r="M2" s="83" t="s">
        <v>39</v>
      </c>
      <c r="N2" s="79" t="s">
        <v>40</v>
      </c>
      <c r="O2" s="20" t="s">
        <v>47</v>
      </c>
      <c r="P2" s="512"/>
      <c r="Q2" s="502"/>
      <c r="R2" s="515"/>
      <c r="S2" s="500"/>
      <c r="T2" s="500"/>
      <c r="U2" s="500"/>
      <c r="V2" s="500"/>
      <c r="W2" s="500"/>
      <c r="X2" s="500"/>
      <c r="Y2" s="500"/>
      <c r="Z2" s="506"/>
      <c r="AA2" s="502"/>
      <c r="AB2" s="504"/>
      <c r="AC2" s="506"/>
      <c r="AD2" s="508"/>
      <c r="AE2" s="502"/>
      <c r="AF2" s="504"/>
      <c r="AG2" s="38"/>
      <c r="AH2" s="500"/>
    </row>
    <row r="3" spans="1:34" ht="15.75">
      <c r="A3" s="13"/>
      <c r="B3" s="35" t="s">
        <v>12</v>
      </c>
      <c r="C3" s="13"/>
      <c r="D3" s="8"/>
      <c r="E3" s="14"/>
      <c r="F3" s="39"/>
      <c r="G3" s="113"/>
      <c r="H3" s="76"/>
      <c r="I3" s="76"/>
      <c r="J3" s="76"/>
      <c r="L3" s="81"/>
      <c r="M3" s="81"/>
      <c r="N3" s="75"/>
      <c r="O3" s="82"/>
      <c r="P3" s="13"/>
      <c r="Q3" s="9"/>
      <c r="R3" s="14"/>
      <c r="S3" s="22"/>
      <c r="T3" s="39"/>
      <c r="U3" s="40"/>
      <c r="V3" s="39"/>
      <c r="W3" s="39"/>
      <c r="X3" s="40"/>
      <c r="Y3" s="8"/>
      <c r="Z3" s="92"/>
      <c r="AA3" s="8"/>
      <c r="AB3" s="14"/>
      <c r="AC3" s="13"/>
      <c r="AD3" s="41"/>
      <c r="AE3" s="8"/>
      <c r="AF3" s="42"/>
      <c r="AG3" s="43"/>
      <c r="AH3" s="44"/>
    </row>
    <row r="4" spans="1:34" s="33" customFormat="1" ht="15.75">
      <c r="A4" s="15">
        <v>1</v>
      </c>
      <c r="B4" s="46" t="s">
        <v>3</v>
      </c>
      <c r="C4" s="15">
        <v>2903.9</v>
      </c>
      <c r="D4" s="10"/>
      <c r="E4" s="47" t="e">
        <f>#REF!</f>
        <v>#REF!</v>
      </c>
      <c r="F4" s="48">
        <v>30032</v>
      </c>
      <c r="G4" s="114"/>
      <c r="H4" s="48" t="e">
        <f>#REF!</f>
        <v>#REF!</v>
      </c>
      <c r="I4" s="48"/>
      <c r="J4" s="48" t="e">
        <f>#REF!</f>
        <v>#REF!</v>
      </c>
      <c r="K4" s="49"/>
      <c r="L4" s="50"/>
      <c r="M4" s="50"/>
      <c r="N4" s="46">
        <v>3069</v>
      </c>
      <c r="O4" s="47"/>
      <c r="P4" s="51" t="e">
        <f>SUM(E4:O4)</f>
        <v>#REF!</v>
      </c>
      <c r="Q4" s="1" t="e">
        <f>(P4-J4)/1.4</f>
        <v>#REF!</v>
      </c>
      <c r="R4" s="16" t="e">
        <f>P4-Q4+J4</f>
        <v>#REF!</v>
      </c>
      <c r="S4" s="23">
        <v>1250</v>
      </c>
      <c r="T4" s="48">
        <v>1320</v>
      </c>
      <c r="U4" s="26"/>
      <c r="V4" s="91">
        <v>7735.2</v>
      </c>
      <c r="W4" s="48">
        <f>2895.8+330+23014.2</f>
        <v>26240</v>
      </c>
      <c r="X4" s="26"/>
      <c r="Y4" s="10">
        <v>2240</v>
      </c>
      <c r="Z4" s="89">
        <f aca="true" t="shared" si="0" ref="Z4:Z14">SUM(S4:Y4)</f>
        <v>38785.2</v>
      </c>
      <c r="AA4" s="12">
        <f>Z4/1.4</f>
        <v>27703.714285714286</v>
      </c>
      <c r="AB4" s="16">
        <f>Z4-AA4</f>
        <v>11081.48571428571</v>
      </c>
      <c r="AC4" s="51" t="e">
        <f aca="true" t="shared" si="1" ref="AC4:AC18">P4+Z4</f>
        <v>#REF!</v>
      </c>
      <c r="AD4" s="1" t="e">
        <f aca="true" t="shared" si="2" ref="AD4:AD18">Q4+AA4</f>
        <v>#REF!</v>
      </c>
      <c r="AE4" s="1" t="e">
        <f aca="true" t="shared" si="3" ref="AE4:AE18">R4</f>
        <v>#REF!</v>
      </c>
      <c r="AF4" s="16">
        <f>AB4</f>
        <v>11081.48571428571</v>
      </c>
      <c r="AG4" s="52"/>
      <c r="AH4" s="52"/>
    </row>
    <row r="5" spans="1:34" s="33" customFormat="1" ht="15.75">
      <c r="A5" s="15">
        <f>A4+1</f>
        <v>2</v>
      </c>
      <c r="B5" s="46" t="s">
        <v>2</v>
      </c>
      <c r="C5" s="15">
        <v>1754.7</v>
      </c>
      <c r="D5" s="10"/>
      <c r="E5" s="47" t="e">
        <f>#REF!</f>
        <v>#REF!</v>
      </c>
      <c r="F5" s="48">
        <v>21303</v>
      </c>
      <c r="G5" s="114"/>
      <c r="H5" s="48" t="e">
        <f>#REF!</f>
        <v>#REF!</v>
      </c>
      <c r="I5" s="48"/>
      <c r="J5" s="48" t="e">
        <f>#REF!</f>
        <v>#REF!</v>
      </c>
      <c r="K5" s="49"/>
      <c r="L5" s="50"/>
      <c r="M5" s="50"/>
      <c r="N5" s="46">
        <v>500</v>
      </c>
      <c r="O5" s="47"/>
      <c r="P5" s="51" t="e">
        <f aca="true" t="shared" si="4" ref="P5:P33">SUM(E5:O5)</f>
        <v>#REF!</v>
      </c>
      <c r="Q5" s="1" t="e">
        <f aca="true" t="shared" si="5" ref="Q5:Q18">(P5-J5)/1.4</f>
        <v>#REF!</v>
      </c>
      <c r="R5" s="16" t="e">
        <f aca="true" t="shared" si="6" ref="R5:R33">P5-Q5</f>
        <v>#REF!</v>
      </c>
      <c r="S5" s="23">
        <v>1620</v>
      </c>
      <c r="T5" s="48">
        <v>700</v>
      </c>
      <c r="U5" s="26"/>
      <c r="V5" s="48">
        <v>5882</v>
      </c>
      <c r="W5" s="49">
        <v>3453.5</v>
      </c>
      <c r="X5" s="26">
        <v>658</v>
      </c>
      <c r="Y5" s="10">
        <v>9100</v>
      </c>
      <c r="Z5" s="89">
        <f t="shared" si="0"/>
        <v>21413.5</v>
      </c>
      <c r="AA5" s="12">
        <f aca="true" t="shared" si="7" ref="AA5:AA18">Z5/1.4</f>
        <v>15295.357142857143</v>
      </c>
      <c r="AB5" s="16">
        <f aca="true" t="shared" si="8" ref="AB5:AB18">Z5-AA5</f>
        <v>6118.142857142857</v>
      </c>
      <c r="AC5" s="51" t="e">
        <f t="shared" si="1"/>
        <v>#REF!</v>
      </c>
      <c r="AD5" s="1" t="e">
        <f t="shared" si="2"/>
        <v>#REF!</v>
      </c>
      <c r="AE5" s="1" t="e">
        <f t="shared" si="3"/>
        <v>#REF!</v>
      </c>
      <c r="AF5" s="16">
        <f aca="true" t="shared" si="9" ref="AF5:AF30">AB5</f>
        <v>6118.142857142857</v>
      </c>
      <c r="AG5" s="52"/>
      <c r="AH5" s="52"/>
    </row>
    <row r="6" spans="1:34" s="33" customFormat="1" ht="15.75">
      <c r="A6" s="15">
        <f aca="true" t="shared" si="10" ref="A6:A33">A5+1</f>
        <v>3</v>
      </c>
      <c r="B6" s="46" t="s">
        <v>6</v>
      </c>
      <c r="C6" s="15"/>
      <c r="D6" s="10">
        <v>730.5</v>
      </c>
      <c r="E6" s="47" t="e">
        <f>#REF!</f>
        <v>#REF!</v>
      </c>
      <c r="F6" s="48">
        <v>3091</v>
      </c>
      <c r="G6" s="114" t="e">
        <f>#REF!</f>
        <v>#REF!</v>
      </c>
      <c r="H6" s="48"/>
      <c r="I6" s="48"/>
      <c r="J6" s="48" t="e">
        <f>#REF!</f>
        <v>#REF!</v>
      </c>
      <c r="K6" s="49"/>
      <c r="L6" s="50"/>
      <c r="M6" s="50"/>
      <c r="N6" s="46"/>
      <c r="O6" s="47"/>
      <c r="P6" s="51" t="e">
        <f t="shared" si="4"/>
        <v>#REF!</v>
      </c>
      <c r="Q6" s="1" t="e">
        <f t="shared" si="5"/>
        <v>#REF!</v>
      </c>
      <c r="R6" s="16" t="e">
        <f t="shared" si="6"/>
        <v>#REF!</v>
      </c>
      <c r="S6" s="23"/>
      <c r="T6" s="48">
        <v>280</v>
      </c>
      <c r="U6" s="26"/>
      <c r="V6" s="48"/>
      <c r="W6" s="49"/>
      <c r="X6" s="26">
        <v>376</v>
      </c>
      <c r="Y6" s="10">
        <v>182.1</v>
      </c>
      <c r="Z6" s="89">
        <f t="shared" si="0"/>
        <v>838.1</v>
      </c>
      <c r="AA6" s="12">
        <f t="shared" si="7"/>
        <v>598.6428571428572</v>
      </c>
      <c r="AB6" s="16">
        <f t="shared" si="8"/>
        <v>239.4571428571428</v>
      </c>
      <c r="AC6" s="51" t="e">
        <f t="shared" si="1"/>
        <v>#REF!</v>
      </c>
      <c r="AD6" s="1" t="e">
        <f t="shared" si="2"/>
        <v>#REF!</v>
      </c>
      <c r="AE6" s="1" t="e">
        <f t="shared" si="3"/>
        <v>#REF!</v>
      </c>
      <c r="AF6" s="16">
        <f t="shared" si="9"/>
        <v>239.4571428571428</v>
      </c>
      <c r="AG6" s="52"/>
      <c r="AH6" s="52"/>
    </row>
    <row r="7" spans="1:34" s="33" customFormat="1" ht="15.75">
      <c r="A7" s="15">
        <f t="shared" si="10"/>
        <v>4</v>
      </c>
      <c r="B7" s="46" t="s">
        <v>8</v>
      </c>
      <c r="C7" s="15"/>
      <c r="D7" s="1">
        <v>20</v>
      </c>
      <c r="E7" s="47" t="e">
        <f>#REF!</f>
        <v>#REF!</v>
      </c>
      <c r="F7" s="48"/>
      <c r="G7" s="114" t="e">
        <f>#REF!</f>
        <v>#REF!</v>
      </c>
      <c r="H7" s="48"/>
      <c r="I7" s="48" t="e">
        <f>#REF!</f>
        <v>#REF!</v>
      </c>
      <c r="J7" s="48" t="e">
        <f>#REF!</f>
        <v>#REF!</v>
      </c>
      <c r="K7" s="49"/>
      <c r="L7" s="50"/>
      <c r="M7" s="50"/>
      <c r="N7" s="46"/>
      <c r="O7" s="47"/>
      <c r="P7" s="51" t="e">
        <f t="shared" si="4"/>
        <v>#REF!</v>
      </c>
      <c r="Q7" s="1" t="e">
        <f t="shared" si="5"/>
        <v>#REF!</v>
      </c>
      <c r="R7" s="16" t="e">
        <f t="shared" si="6"/>
        <v>#REF!</v>
      </c>
      <c r="S7" s="23"/>
      <c r="T7" s="48"/>
      <c r="U7" s="26"/>
      <c r="V7" s="48"/>
      <c r="W7" s="49"/>
      <c r="X7" s="26">
        <v>1880</v>
      </c>
      <c r="Y7" s="10"/>
      <c r="Z7" s="89">
        <f t="shared" si="0"/>
        <v>1880</v>
      </c>
      <c r="AA7" s="12">
        <f t="shared" si="7"/>
        <v>1342.857142857143</v>
      </c>
      <c r="AB7" s="16">
        <f t="shared" si="8"/>
        <v>537.1428571428571</v>
      </c>
      <c r="AC7" s="51" t="e">
        <f t="shared" si="1"/>
        <v>#REF!</v>
      </c>
      <c r="AD7" s="1" t="e">
        <f t="shared" si="2"/>
        <v>#REF!</v>
      </c>
      <c r="AE7" s="1" t="e">
        <f t="shared" si="3"/>
        <v>#REF!</v>
      </c>
      <c r="AF7" s="16">
        <f t="shared" si="9"/>
        <v>537.1428571428571</v>
      </c>
      <c r="AG7" s="52"/>
      <c r="AH7" s="52"/>
    </row>
    <row r="8" spans="1:34" s="33" customFormat="1" ht="15.75">
      <c r="A8" s="15">
        <f t="shared" si="10"/>
        <v>5</v>
      </c>
      <c r="B8" s="46" t="s">
        <v>9</v>
      </c>
      <c r="C8" s="15"/>
      <c r="D8" s="10"/>
      <c r="E8" s="47"/>
      <c r="F8" s="48"/>
      <c r="G8" s="114" t="e">
        <f>#REF!</f>
        <v>#REF!</v>
      </c>
      <c r="H8" s="48"/>
      <c r="I8" s="48" t="e">
        <f>#REF!</f>
        <v>#REF!</v>
      </c>
      <c r="J8" s="48" t="e">
        <f>#REF!</f>
        <v>#REF!</v>
      </c>
      <c r="K8" s="49"/>
      <c r="L8" s="50"/>
      <c r="M8" s="50"/>
      <c r="N8" s="46"/>
      <c r="O8" s="47"/>
      <c r="P8" s="51" t="e">
        <f t="shared" si="4"/>
        <v>#REF!</v>
      </c>
      <c r="Q8" s="1" t="e">
        <f t="shared" si="5"/>
        <v>#REF!</v>
      </c>
      <c r="R8" s="16" t="e">
        <f t="shared" si="6"/>
        <v>#REF!</v>
      </c>
      <c r="S8" s="23"/>
      <c r="T8" s="48"/>
      <c r="U8" s="26"/>
      <c r="V8" s="48"/>
      <c r="W8" s="49"/>
      <c r="X8" s="26">
        <v>423</v>
      </c>
      <c r="Y8" s="10"/>
      <c r="Z8" s="89">
        <f t="shared" si="0"/>
        <v>423</v>
      </c>
      <c r="AA8" s="12">
        <f t="shared" si="7"/>
        <v>302.14285714285717</v>
      </c>
      <c r="AB8" s="16">
        <f t="shared" si="8"/>
        <v>120.85714285714283</v>
      </c>
      <c r="AC8" s="51" t="e">
        <f t="shared" si="1"/>
        <v>#REF!</v>
      </c>
      <c r="AD8" s="1" t="e">
        <f t="shared" si="2"/>
        <v>#REF!</v>
      </c>
      <c r="AE8" s="1" t="e">
        <f t="shared" si="3"/>
        <v>#REF!</v>
      </c>
      <c r="AF8" s="16">
        <f t="shared" si="9"/>
        <v>120.85714285714283</v>
      </c>
      <c r="AG8" s="52"/>
      <c r="AH8" s="52"/>
    </row>
    <row r="9" spans="1:34" s="33" customFormat="1" ht="15.75">
      <c r="A9" s="15">
        <f t="shared" si="10"/>
        <v>6</v>
      </c>
      <c r="B9" s="46" t="s">
        <v>7</v>
      </c>
      <c r="C9" s="15"/>
      <c r="D9" s="10">
        <v>547.3</v>
      </c>
      <c r="E9" s="47" t="e">
        <f>#REF!</f>
        <v>#REF!</v>
      </c>
      <c r="F9" s="48"/>
      <c r="G9" s="114" t="e">
        <f>#REF!</f>
        <v>#REF!</v>
      </c>
      <c r="H9" s="48"/>
      <c r="I9" s="48" t="e">
        <f>#REF!</f>
        <v>#REF!</v>
      </c>
      <c r="J9" s="48" t="e">
        <f>#REF!</f>
        <v>#REF!</v>
      </c>
      <c r="K9" s="49"/>
      <c r="L9" s="50"/>
      <c r="M9" s="50"/>
      <c r="N9" s="46"/>
      <c r="O9" s="47"/>
      <c r="P9" s="51" t="e">
        <f t="shared" si="4"/>
        <v>#REF!</v>
      </c>
      <c r="Q9" s="1" t="e">
        <f t="shared" si="5"/>
        <v>#REF!</v>
      </c>
      <c r="R9" s="16" t="e">
        <f t="shared" si="6"/>
        <v>#REF!</v>
      </c>
      <c r="S9" s="23"/>
      <c r="T9" s="48"/>
      <c r="U9" s="26"/>
      <c r="V9" s="48"/>
      <c r="W9" s="49"/>
      <c r="X9" s="26">
        <v>70.5</v>
      </c>
      <c r="Y9" s="10"/>
      <c r="Z9" s="89">
        <f t="shared" si="0"/>
        <v>70.5</v>
      </c>
      <c r="AA9" s="12">
        <f t="shared" si="7"/>
        <v>50.35714285714286</v>
      </c>
      <c r="AB9" s="16">
        <f t="shared" si="8"/>
        <v>20.14285714285714</v>
      </c>
      <c r="AC9" s="51" t="e">
        <f t="shared" si="1"/>
        <v>#REF!</v>
      </c>
      <c r="AD9" s="1" t="e">
        <f t="shared" si="2"/>
        <v>#REF!</v>
      </c>
      <c r="AE9" s="1" t="e">
        <f t="shared" si="3"/>
        <v>#REF!</v>
      </c>
      <c r="AF9" s="16">
        <f t="shared" si="9"/>
        <v>20.14285714285714</v>
      </c>
      <c r="AG9" s="52"/>
      <c r="AH9" s="52"/>
    </row>
    <row r="10" spans="1:34" s="33" customFormat="1" ht="15.75">
      <c r="A10" s="15">
        <f t="shared" si="10"/>
        <v>7</v>
      </c>
      <c r="B10" s="46" t="s">
        <v>58</v>
      </c>
      <c r="C10" s="15">
        <v>30053.6</v>
      </c>
      <c r="D10" s="10"/>
      <c r="E10" s="47" t="e">
        <f>#REF!</f>
        <v>#REF!</v>
      </c>
      <c r="F10" s="48">
        <v>87744.5</v>
      </c>
      <c r="G10" s="114" t="e">
        <f>#REF!</f>
        <v>#REF!</v>
      </c>
      <c r="H10" s="48" t="e">
        <f>#REF!</f>
        <v>#REF!</v>
      </c>
      <c r="I10" s="48"/>
      <c r="J10" s="48" t="e">
        <f>#REF!</f>
        <v>#REF!</v>
      </c>
      <c r="K10" s="49"/>
      <c r="L10" s="50">
        <v>37970</v>
      </c>
      <c r="M10" s="50"/>
      <c r="N10" s="46"/>
      <c r="O10" s="47">
        <v>4550</v>
      </c>
      <c r="P10" s="51" t="e">
        <f t="shared" si="4"/>
        <v>#REF!</v>
      </c>
      <c r="Q10" s="1" t="e">
        <f t="shared" si="5"/>
        <v>#REF!</v>
      </c>
      <c r="R10" s="16" t="e">
        <f t="shared" si="6"/>
        <v>#REF!</v>
      </c>
      <c r="S10" s="23">
        <v>440</v>
      </c>
      <c r="T10" s="48">
        <v>402</v>
      </c>
      <c r="U10" s="25">
        <v>967</v>
      </c>
      <c r="V10" s="48">
        <f>8687+34902</f>
        <v>43589</v>
      </c>
      <c r="W10" s="49"/>
      <c r="X10" s="26"/>
      <c r="Y10" s="10">
        <v>1920</v>
      </c>
      <c r="Z10" s="89">
        <f t="shared" si="0"/>
        <v>47318</v>
      </c>
      <c r="AA10" s="12">
        <f t="shared" si="7"/>
        <v>33798.57142857143</v>
      </c>
      <c r="AB10" s="16">
        <f t="shared" si="8"/>
        <v>13519.428571428572</v>
      </c>
      <c r="AC10" s="51" t="e">
        <f t="shared" si="1"/>
        <v>#REF!</v>
      </c>
      <c r="AD10" s="1" t="e">
        <f t="shared" si="2"/>
        <v>#REF!</v>
      </c>
      <c r="AE10" s="1" t="e">
        <f t="shared" si="3"/>
        <v>#REF!</v>
      </c>
      <c r="AF10" s="16">
        <f t="shared" si="9"/>
        <v>13519.428571428572</v>
      </c>
      <c r="AG10" s="52"/>
      <c r="AH10" s="52"/>
    </row>
    <row r="11" spans="1:34" s="33" customFormat="1" ht="15.75">
      <c r="A11" s="15">
        <f t="shared" si="10"/>
        <v>8</v>
      </c>
      <c r="B11" s="46" t="s">
        <v>1</v>
      </c>
      <c r="C11" s="51">
        <v>92493</v>
      </c>
      <c r="D11" s="1"/>
      <c r="E11" s="47" t="e">
        <f>#REF!</f>
        <v>#REF!</v>
      </c>
      <c r="F11" s="48">
        <v>114535.7</v>
      </c>
      <c r="G11" s="114" t="e">
        <f>#REF!</f>
        <v>#REF!</v>
      </c>
      <c r="H11" s="48"/>
      <c r="I11" s="48"/>
      <c r="J11" s="48" t="e">
        <f>#REF!</f>
        <v>#REF!</v>
      </c>
      <c r="K11" s="49"/>
      <c r="L11" s="50"/>
      <c r="M11" s="50"/>
      <c r="N11" s="46">
        <v>836.7</v>
      </c>
      <c r="O11" s="47">
        <v>27280</v>
      </c>
      <c r="P11" s="51" t="e">
        <f t="shared" si="4"/>
        <v>#REF!</v>
      </c>
      <c r="Q11" s="1" t="e">
        <f t="shared" si="5"/>
        <v>#REF!</v>
      </c>
      <c r="R11" s="16" t="e">
        <f t="shared" si="6"/>
        <v>#REF!</v>
      </c>
      <c r="S11" s="29"/>
      <c r="T11" s="48">
        <v>5400</v>
      </c>
      <c r="U11" s="25">
        <v>2761.7</v>
      </c>
      <c r="V11" s="48">
        <f>661+11200</f>
        <v>11861</v>
      </c>
      <c r="W11" s="48">
        <v>27225</v>
      </c>
      <c r="X11" s="26">
        <v>470</v>
      </c>
      <c r="Y11" s="10">
        <v>5310</v>
      </c>
      <c r="Z11" s="89">
        <f t="shared" si="0"/>
        <v>53027.7</v>
      </c>
      <c r="AA11" s="12">
        <f t="shared" si="7"/>
        <v>37876.92857142857</v>
      </c>
      <c r="AB11" s="16">
        <f t="shared" si="8"/>
        <v>15150.771428571425</v>
      </c>
      <c r="AC11" s="51" t="e">
        <f t="shared" si="1"/>
        <v>#REF!</v>
      </c>
      <c r="AD11" s="1" t="e">
        <f t="shared" si="2"/>
        <v>#REF!</v>
      </c>
      <c r="AE11" s="1" t="e">
        <f t="shared" si="3"/>
        <v>#REF!</v>
      </c>
      <c r="AF11" s="16">
        <f t="shared" si="9"/>
        <v>15150.771428571425</v>
      </c>
      <c r="AG11" s="52"/>
      <c r="AH11" s="52"/>
    </row>
    <row r="12" spans="1:34" s="33" customFormat="1" ht="15.75">
      <c r="A12" s="15">
        <f t="shared" si="10"/>
        <v>9</v>
      </c>
      <c r="B12" s="46" t="s">
        <v>66</v>
      </c>
      <c r="C12" s="15">
        <v>4038.3</v>
      </c>
      <c r="D12" s="10"/>
      <c r="E12" s="47" t="e">
        <f>#REF!</f>
        <v>#REF!</v>
      </c>
      <c r="F12" s="48">
        <v>7244.5</v>
      </c>
      <c r="G12" s="114" t="e">
        <f>#REF!</f>
        <v>#REF!</v>
      </c>
      <c r="H12" s="48"/>
      <c r="I12" s="48"/>
      <c r="J12" s="48" t="e">
        <f>#REF!</f>
        <v>#REF!</v>
      </c>
      <c r="K12" s="49"/>
      <c r="L12" s="50"/>
      <c r="M12" s="50"/>
      <c r="N12" s="46"/>
      <c r="O12" s="47"/>
      <c r="P12" s="51" t="e">
        <f t="shared" si="4"/>
        <v>#REF!</v>
      </c>
      <c r="Q12" s="1" t="e">
        <f t="shared" si="5"/>
        <v>#REF!</v>
      </c>
      <c r="R12" s="16" t="e">
        <f t="shared" si="6"/>
        <v>#REF!</v>
      </c>
      <c r="S12" s="29"/>
      <c r="T12" s="48"/>
      <c r="U12" s="25"/>
      <c r="V12" s="49"/>
      <c r="W12" s="49"/>
      <c r="X12" s="26"/>
      <c r="Y12" s="10">
        <v>1828</v>
      </c>
      <c r="Z12" s="89">
        <f t="shared" si="0"/>
        <v>1828</v>
      </c>
      <c r="AA12" s="12">
        <f t="shared" si="7"/>
        <v>1305.7142857142858</v>
      </c>
      <c r="AB12" s="16">
        <f t="shared" si="8"/>
        <v>522.2857142857142</v>
      </c>
      <c r="AC12" s="51" t="e">
        <f t="shared" si="1"/>
        <v>#REF!</v>
      </c>
      <c r="AD12" s="1" t="e">
        <f t="shared" si="2"/>
        <v>#REF!</v>
      </c>
      <c r="AE12" s="1" t="e">
        <f t="shared" si="3"/>
        <v>#REF!</v>
      </c>
      <c r="AF12" s="16">
        <f t="shared" si="9"/>
        <v>522.2857142857142</v>
      </c>
      <c r="AG12" s="52"/>
      <c r="AH12" s="52"/>
    </row>
    <row r="13" spans="1:34" s="33" customFormat="1" ht="15.75">
      <c r="A13" s="15">
        <f t="shared" si="10"/>
        <v>10</v>
      </c>
      <c r="B13" s="46" t="s">
        <v>5</v>
      </c>
      <c r="C13" s="15">
        <v>1523.2</v>
      </c>
      <c r="D13" s="1">
        <v>13980.5</v>
      </c>
      <c r="E13" s="47" t="e">
        <f>#REF!</f>
        <v>#REF!</v>
      </c>
      <c r="F13" s="48">
        <v>6127.5</v>
      </c>
      <c r="G13" s="114"/>
      <c r="H13" s="48"/>
      <c r="I13" s="48"/>
      <c r="J13" s="48" t="e">
        <f>#REF!</f>
        <v>#REF!</v>
      </c>
      <c r="K13" s="49"/>
      <c r="L13" s="74"/>
      <c r="M13" s="50"/>
      <c r="N13" s="46"/>
      <c r="O13" s="47"/>
      <c r="P13" s="51" t="e">
        <f t="shared" si="4"/>
        <v>#REF!</v>
      </c>
      <c r="Q13" s="1" t="e">
        <f t="shared" si="5"/>
        <v>#REF!</v>
      </c>
      <c r="R13" s="16" t="e">
        <f t="shared" si="6"/>
        <v>#REF!</v>
      </c>
      <c r="S13" s="29"/>
      <c r="T13" s="48"/>
      <c r="U13" s="25"/>
      <c r="V13" s="49"/>
      <c r="W13" s="49"/>
      <c r="X13" s="26">
        <v>705</v>
      </c>
      <c r="Y13" s="10">
        <v>345</v>
      </c>
      <c r="Z13" s="89">
        <f t="shared" si="0"/>
        <v>1050</v>
      </c>
      <c r="AA13" s="12">
        <f t="shared" si="7"/>
        <v>750</v>
      </c>
      <c r="AB13" s="16">
        <f t="shared" si="8"/>
        <v>300</v>
      </c>
      <c r="AC13" s="51" t="e">
        <f t="shared" si="1"/>
        <v>#REF!</v>
      </c>
      <c r="AD13" s="1" t="e">
        <f t="shared" si="2"/>
        <v>#REF!</v>
      </c>
      <c r="AE13" s="1" t="e">
        <f t="shared" si="3"/>
        <v>#REF!</v>
      </c>
      <c r="AF13" s="16">
        <f t="shared" si="9"/>
        <v>300</v>
      </c>
      <c r="AG13" s="52"/>
      <c r="AH13" s="52"/>
    </row>
    <row r="14" spans="1:34" s="33" customFormat="1" ht="15.75">
      <c r="A14" s="15">
        <f t="shared" si="10"/>
        <v>11</v>
      </c>
      <c r="B14" s="46" t="s">
        <v>4</v>
      </c>
      <c r="C14" s="15">
        <v>6272.5</v>
      </c>
      <c r="D14" s="1">
        <v>2752</v>
      </c>
      <c r="E14" s="47" t="e">
        <f>#REF!</f>
        <v>#REF!</v>
      </c>
      <c r="F14" s="48">
        <v>6433.5</v>
      </c>
      <c r="G14" s="114"/>
      <c r="H14" s="48"/>
      <c r="I14" s="48"/>
      <c r="J14" s="48" t="e">
        <f>#REF!</f>
        <v>#REF!</v>
      </c>
      <c r="K14" s="49"/>
      <c r="L14" s="50">
        <v>2730</v>
      </c>
      <c r="M14" s="50"/>
      <c r="N14" s="46"/>
      <c r="O14" s="47">
        <v>800</v>
      </c>
      <c r="P14" s="51" t="e">
        <f t="shared" si="4"/>
        <v>#REF!</v>
      </c>
      <c r="Q14" s="1" t="e">
        <f t="shared" si="5"/>
        <v>#REF!</v>
      </c>
      <c r="R14" s="16" t="e">
        <f t="shared" si="6"/>
        <v>#REF!</v>
      </c>
      <c r="S14" s="29"/>
      <c r="T14" s="48">
        <v>5200</v>
      </c>
      <c r="U14" s="25">
        <v>930</v>
      </c>
      <c r="V14" s="49"/>
      <c r="W14" s="49">
        <v>772.2</v>
      </c>
      <c r="X14" s="26"/>
      <c r="Y14" s="10">
        <v>1171</v>
      </c>
      <c r="Z14" s="89">
        <f t="shared" si="0"/>
        <v>8073.2</v>
      </c>
      <c r="AA14" s="12">
        <f t="shared" si="7"/>
        <v>5766.571428571428</v>
      </c>
      <c r="AB14" s="16">
        <f t="shared" si="8"/>
        <v>2306.6285714285714</v>
      </c>
      <c r="AC14" s="51" t="e">
        <f t="shared" si="1"/>
        <v>#REF!</v>
      </c>
      <c r="AD14" s="1" t="e">
        <f t="shared" si="2"/>
        <v>#REF!</v>
      </c>
      <c r="AE14" s="1" t="e">
        <f t="shared" si="3"/>
        <v>#REF!</v>
      </c>
      <c r="AF14" s="16">
        <f t="shared" si="9"/>
        <v>2306.6285714285714</v>
      </c>
      <c r="AG14" s="52"/>
      <c r="AH14" s="52"/>
    </row>
    <row r="15" spans="1:34" s="33" customFormat="1" ht="15.75">
      <c r="A15" s="15">
        <f t="shared" si="10"/>
        <v>12</v>
      </c>
      <c r="B15" s="46" t="s">
        <v>27</v>
      </c>
      <c r="C15" s="15"/>
      <c r="D15" s="10">
        <v>2183.9</v>
      </c>
      <c r="E15" s="47" t="e">
        <f>#REF!</f>
        <v>#REF!</v>
      </c>
      <c r="F15" s="48"/>
      <c r="G15" s="114" t="e">
        <f>#REF!</f>
        <v>#REF!</v>
      </c>
      <c r="H15" s="48"/>
      <c r="I15" s="48" t="e">
        <f>#REF!</f>
        <v>#REF!</v>
      </c>
      <c r="J15" s="48" t="e">
        <f>#REF!</f>
        <v>#REF!</v>
      </c>
      <c r="K15" s="49"/>
      <c r="L15" s="50"/>
      <c r="M15" s="50"/>
      <c r="N15" s="46"/>
      <c r="O15" s="47"/>
      <c r="P15" s="51" t="e">
        <f t="shared" si="4"/>
        <v>#REF!</v>
      </c>
      <c r="Q15" s="1" t="e">
        <f t="shared" si="5"/>
        <v>#REF!</v>
      </c>
      <c r="R15" s="16" t="e">
        <f t="shared" si="6"/>
        <v>#REF!</v>
      </c>
      <c r="S15" s="29"/>
      <c r="T15" s="48"/>
      <c r="U15" s="25"/>
      <c r="V15" s="49"/>
      <c r="W15" s="49"/>
      <c r="X15" s="26"/>
      <c r="Y15" s="10"/>
      <c r="Z15" s="89"/>
      <c r="AA15" s="12"/>
      <c r="AB15" s="16"/>
      <c r="AC15" s="51" t="e">
        <f t="shared" si="1"/>
        <v>#REF!</v>
      </c>
      <c r="AD15" s="1" t="e">
        <f t="shared" si="2"/>
        <v>#REF!</v>
      </c>
      <c r="AE15" s="1" t="e">
        <f t="shared" si="3"/>
        <v>#REF!</v>
      </c>
      <c r="AF15" s="16">
        <f t="shared" si="9"/>
        <v>0</v>
      </c>
      <c r="AG15" s="52"/>
      <c r="AH15" s="52"/>
    </row>
    <row r="16" spans="1:34" s="33" customFormat="1" ht="15.75">
      <c r="A16" s="15">
        <f t="shared" si="10"/>
        <v>13</v>
      </c>
      <c r="B16" s="46" t="s">
        <v>10</v>
      </c>
      <c r="C16" s="15">
        <v>27846.9</v>
      </c>
      <c r="D16" s="10"/>
      <c r="E16" s="47"/>
      <c r="F16" s="48">
        <v>27428.9</v>
      </c>
      <c r="G16" s="114"/>
      <c r="H16" s="48"/>
      <c r="I16" s="48"/>
      <c r="J16" s="48" t="e">
        <f>#REF!</f>
        <v>#REF!</v>
      </c>
      <c r="K16" s="49"/>
      <c r="L16" s="50">
        <v>16000</v>
      </c>
      <c r="M16" s="50"/>
      <c r="N16" s="46"/>
      <c r="O16" s="47"/>
      <c r="P16" s="51" t="e">
        <f t="shared" si="4"/>
        <v>#REF!</v>
      </c>
      <c r="Q16" s="1" t="e">
        <f t="shared" si="5"/>
        <v>#REF!</v>
      </c>
      <c r="R16" s="16" t="e">
        <f t="shared" si="6"/>
        <v>#REF!</v>
      </c>
      <c r="S16" s="29"/>
      <c r="T16" s="48">
        <v>900</v>
      </c>
      <c r="U16" s="25"/>
      <c r="V16" s="49">
        <f>6665.7*2</f>
        <v>13331.4</v>
      </c>
      <c r="W16" s="49"/>
      <c r="X16" s="26"/>
      <c r="Y16" s="10">
        <v>185</v>
      </c>
      <c r="Z16" s="89">
        <f>SUM(S16:Y16)</f>
        <v>14416.4</v>
      </c>
      <c r="AA16" s="12">
        <f t="shared" si="7"/>
        <v>10297.428571428572</v>
      </c>
      <c r="AB16" s="16">
        <f t="shared" si="8"/>
        <v>4118.971428571427</v>
      </c>
      <c r="AC16" s="51" t="e">
        <f t="shared" si="1"/>
        <v>#REF!</v>
      </c>
      <c r="AD16" s="1" t="e">
        <f t="shared" si="2"/>
        <v>#REF!</v>
      </c>
      <c r="AE16" s="1" t="e">
        <f t="shared" si="3"/>
        <v>#REF!</v>
      </c>
      <c r="AF16" s="16">
        <f t="shared" si="9"/>
        <v>4118.971428571427</v>
      </c>
      <c r="AG16" s="52"/>
      <c r="AH16" s="52"/>
    </row>
    <row r="17" spans="1:34" s="33" customFormat="1" ht="15.75">
      <c r="A17" s="15">
        <f t="shared" si="10"/>
        <v>14</v>
      </c>
      <c r="B17" s="46" t="s">
        <v>35</v>
      </c>
      <c r="C17" s="15"/>
      <c r="D17" s="10"/>
      <c r="E17" s="47"/>
      <c r="F17" s="49"/>
      <c r="G17" s="114" t="e">
        <f>#REF!</f>
        <v>#REF!</v>
      </c>
      <c r="H17" s="48"/>
      <c r="I17" s="48" t="e">
        <f>#REF!</f>
        <v>#REF!</v>
      </c>
      <c r="J17" s="48" t="e">
        <f>#REF!</f>
        <v>#REF!</v>
      </c>
      <c r="K17" s="49"/>
      <c r="L17" s="50"/>
      <c r="M17" s="50"/>
      <c r="N17" s="46"/>
      <c r="O17" s="47">
        <v>9090</v>
      </c>
      <c r="P17" s="51" t="e">
        <f t="shared" si="4"/>
        <v>#REF!</v>
      </c>
      <c r="Q17" s="1" t="e">
        <f t="shared" si="5"/>
        <v>#REF!</v>
      </c>
      <c r="R17" s="16" t="e">
        <f t="shared" si="6"/>
        <v>#REF!</v>
      </c>
      <c r="S17" s="29"/>
      <c r="T17" s="49"/>
      <c r="U17" s="26"/>
      <c r="V17" s="49"/>
      <c r="W17" s="49"/>
      <c r="X17" s="26">
        <v>188</v>
      </c>
      <c r="Y17" s="10">
        <v>356.2</v>
      </c>
      <c r="Z17" s="89">
        <f>SUM(S17:Y17)</f>
        <v>544.2</v>
      </c>
      <c r="AA17" s="12">
        <f t="shared" si="7"/>
        <v>388.7142857142858</v>
      </c>
      <c r="AB17" s="16">
        <f t="shared" si="8"/>
        <v>155.48571428571427</v>
      </c>
      <c r="AC17" s="51" t="e">
        <f t="shared" si="1"/>
        <v>#REF!</v>
      </c>
      <c r="AD17" s="1" t="e">
        <f t="shared" si="2"/>
        <v>#REF!</v>
      </c>
      <c r="AE17" s="1" t="e">
        <f t="shared" si="3"/>
        <v>#REF!</v>
      </c>
      <c r="AF17" s="16">
        <f t="shared" si="9"/>
        <v>155.48571428571427</v>
      </c>
      <c r="AG17" s="52"/>
      <c r="AH17" s="52"/>
    </row>
    <row r="18" spans="1:34" s="33" customFormat="1" ht="26.25">
      <c r="A18" s="15">
        <f t="shared" si="10"/>
        <v>15</v>
      </c>
      <c r="B18" s="46" t="s">
        <v>11</v>
      </c>
      <c r="C18" s="15">
        <v>1520.6</v>
      </c>
      <c r="D18" s="10"/>
      <c r="E18" s="47" t="e">
        <f>#REF!</f>
        <v>#REF!</v>
      </c>
      <c r="F18" s="49"/>
      <c r="G18" s="114"/>
      <c r="H18" s="48" t="e">
        <f>#REF!</f>
        <v>#REF!</v>
      </c>
      <c r="I18" s="48"/>
      <c r="J18" s="48"/>
      <c r="K18" s="49"/>
      <c r="L18" s="50"/>
      <c r="M18" s="50"/>
      <c r="N18" s="46"/>
      <c r="O18" s="47"/>
      <c r="P18" s="51" t="e">
        <f t="shared" si="4"/>
        <v>#REF!</v>
      </c>
      <c r="Q18" s="1" t="e">
        <f t="shared" si="5"/>
        <v>#REF!</v>
      </c>
      <c r="R18" s="16" t="e">
        <f t="shared" si="6"/>
        <v>#REF!</v>
      </c>
      <c r="S18" s="29"/>
      <c r="T18" s="49"/>
      <c r="U18" s="26"/>
      <c r="V18" s="48">
        <v>38080</v>
      </c>
      <c r="W18" s="49">
        <v>742.5</v>
      </c>
      <c r="X18" s="26"/>
      <c r="Y18" s="10">
        <v>134</v>
      </c>
      <c r="Z18" s="89">
        <f>SUM(S18:Y18)</f>
        <v>38956.5</v>
      </c>
      <c r="AA18" s="12">
        <f t="shared" si="7"/>
        <v>27826.07142857143</v>
      </c>
      <c r="AB18" s="16">
        <f t="shared" si="8"/>
        <v>11130.428571428569</v>
      </c>
      <c r="AC18" s="51" t="e">
        <f t="shared" si="1"/>
        <v>#REF!</v>
      </c>
      <c r="AD18" s="1" t="e">
        <f t="shared" si="2"/>
        <v>#REF!</v>
      </c>
      <c r="AE18" s="1" t="e">
        <f t="shared" si="3"/>
        <v>#REF!</v>
      </c>
      <c r="AF18" s="16">
        <f t="shared" si="9"/>
        <v>11130.428571428569</v>
      </c>
      <c r="AG18" s="52"/>
      <c r="AH18" s="52"/>
    </row>
    <row r="19" spans="1:34" s="33" customFormat="1" ht="15.75">
      <c r="A19" s="15"/>
      <c r="B19" s="53" t="s">
        <v>13</v>
      </c>
      <c r="C19" s="15"/>
      <c r="D19" s="10"/>
      <c r="E19" s="47"/>
      <c r="F19" s="49"/>
      <c r="G19" s="114"/>
      <c r="H19" s="48"/>
      <c r="I19" s="48"/>
      <c r="J19" s="48"/>
      <c r="K19" s="49"/>
      <c r="L19" s="50"/>
      <c r="M19" s="50"/>
      <c r="N19" s="46"/>
      <c r="O19" s="47"/>
      <c r="P19" s="51"/>
      <c r="Q19" s="10"/>
      <c r="R19" s="16"/>
      <c r="S19" s="29"/>
      <c r="T19" s="49"/>
      <c r="U19" s="26"/>
      <c r="V19" s="49"/>
      <c r="W19" s="49"/>
      <c r="X19" s="26"/>
      <c r="Y19" s="10"/>
      <c r="Z19" s="89"/>
      <c r="AA19" s="12"/>
      <c r="AB19" s="47"/>
      <c r="AC19" s="51"/>
      <c r="AD19" s="1"/>
      <c r="AE19" s="1"/>
      <c r="AF19" s="16"/>
      <c r="AG19" s="52"/>
      <c r="AH19" s="52"/>
    </row>
    <row r="20" spans="1:34" s="33" customFormat="1" ht="17.25" customHeight="1">
      <c r="A20" s="15">
        <f t="shared" si="10"/>
        <v>1</v>
      </c>
      <c r="B20" s="46" t="s">
        <v>14</v>
      </c>
      <c r="C20" s="15"/>
      <c r="D20" s="10"/>
      <c r="E20" s="47"/>
      <c r="F20" s="49"/>
      <c r="G20" s="114"/>
      <c r="H20" s="48"/>
      <c r="I20" s="48"/>
      <c r="J20" s="48"/>
      <c r="K20" s="49"/>
      <c r="L20" s="50"/>
      <c r="M20" s="50"/>
      <c r="N20" s="46"/>
      <c r="O20" s="47"/>
      <c r="P20" s="51"/>
      <c r="Q20" s="10"/>
      <c r="R20" s="16"/>
      <c r="S20" s="29"/>
      <c r="T20" s="49"/>
      <c r="U20" s="26"/>
      <c r="V20" s="49"/>
      <c r="W20" s="49"/>
      <c r="X20" s="26">
        <f>7016-5700</f>
        <v>1316</v>
      </c>
      <c r="Y20" s="10"/>
      <c r="Z20" s="89">
        <f>SUM(S20:Y20)</f>
        <v>1316</v>
      </c>
      <c r="AA20" s="12">
        <f>Z20/1.1</f>
        <v>1196.3636363636363</v>
      </c>
      <c r="AB20" s="54">
        <f>Z20-AA20</f>
        <v>119.63636363636374</v>
      </c>
      <c r="AC20" s="51">
        <f aca="true" t="shared" si="11" ref="AC20:AC33">P20+Z20</f>
        <v>1316</v>
      </c>
      <c r="AD20" s="1">
        <f aca="true" t="shared" si="12" ref="AD20:AD33">Q20+AA20</f>
        <v>1196.3636363636363</v>
      </c>
      <c r="AE20" s="1">
        <f aca="true" t="shared" si="13" ref="AE20:AE33">R20</f>
        <v>0</v>
      </c>
      <c r="AF20" s="16">
        <f t="shared" si="9"/>
        <v>119.63636363636374</v>
      </c>
      <c r="AG20" s="52"/>
      <c r="AH20" s="52"/>
    </row>
    <row r="21" spans="1:34" s="33" customFormat="1" ht="15.75">
      <c r="A21" s="15">
        <f t="shared" si="10"/>
        <v>2</v>
      </c>
      <c r="B21" s="55" t="s">
        <v>34</v>
      </c>
      <c r="C21" s="15"/>
      <c r="D21" s="10"/>
      <c r="E21" s="47" t="e">
        <f>#REF!</f>
        <v>#REF!</v>
      </c>
      <c r="F21" s="49">
        <v>727.1</v>
      </c>
      <c r="G21" s="114"/>
      <c r="H21" s="48"/>
      <c r="I21" s="48"/>
      <c r="J21" s="48"/>
      <c r="K21" s="49"/>
      <c r="L21" s="50"/>
      <c r="M21" s="50"/>
      <c r="N21" s="46"/>
      <c r="O21" s="47"/>
      <c r="P21" s="51" t="e">
        <f t="shared" si="4"/>
        <v>#REF!</v>
      </c>
      <c r="Q21" s="1" t="e">
        <f>(P21-J20)/1.1</f>
        <v>#REF!</v>
      </c>
      <c r="R21" s="16" t="e">
        <f t="shared" si="6"/>
        <v>#REF!</v>
      </c>
      <c r="S21" s="29"/>
      <c r="T21" s="49"/>
      <c r="U21" s="26"/>
      <c r="V21" s="49"/>
      <c r="W21" s="49"/>
      <c r="X21" s="26"/>
      <c r="Y21" s="10">
        <v>68.7</v>
      </c>
      <c r="Z21" s="89">
        <f>SUM(S21:Y21)</f>
        <v>68.7</v>
      </c>
      <c r="AA21" s="12">
        <f>Z21/1.1</f>
        <v>62.45454545454545</v>
      </c>
      <c r="AB21" s="54">
        <f>Z21-AA21</f>
        <v>6.24545454545455</v>
      </c>
      <c r="AC21" s="51" t="e">
        <f t="shared" si="11"/>
        <v>#REF!</v>
      </c>
      <c r="AD21" s="1" t="e">
        <f t="shared" si="12"/>
        <v>#REF!</v>
      </c>
      <c r="AE21" s="1" t="e">
        <f t="shared" si="13"/>
        <v>#REF!</v>
      </c>
      <c r="AF21" s="16">
        <f t="shared" si="9"/>
        <v>6.24545454545455</v>
      </c>
      <c r="AG21" s="52"/>
      <c r="AH21" s="52"/>
    </row>
    <row r="22" spans="1:34" ht="15.75">
      <c r="A22" s="15">
        <f t="shared" si="10"/>
        <v>3</v>
      </c>
      <c r="B22" s="55" t="s">
        <v>16</v>
      </c>
      <c r="C22" s="56"/>
      <c r="D22" s="11">
        <v>624.7</v>
      </c>
      <c r="E22" s="47" t="e">
        <f>#REF!</f>
        <v>#REF!</v>
      </c>
      <c r="F22" s="5"/>
      <c r="G22" s="114"/>
      <c r="H22" s="48"/>
      <c r="I22" s="48"/>
      <c r="J22" s="48"/>
      <c r="K22" s="49"/>
      <c r="L22" s="57"/>
      <c r="M22" s="57"/>
      <c r="N22" s="55"/>
      <c r="O22" s="31"/>
      <c r="P22" s="51" t="e">
        <f t="shared" si="4"/>
        <v>#REF!</v>
      </c>
      <c r="Q22" s="1" t="e">
        <f aca="true" t="shared" si="14" ref="Q22:Q33">(P22-J21)/1.1</f>
        <v>#REF!</v>
      </c>
      <c r="R22" s="16" t="e">
        <f t="shared" si="6"/>
        <v>#REF!</v>
      </c>
      <c r="S22" s="29"/>
      <c r="T22" s="5"/>
      <c r="U22" s="27"/>
      <c r="V22" s="5"/>
      <c r="W22" s="5"/>
      <c r="X22" s="27">
        <v>329</v>
      </c>
      <c r="Y22" s="11"/>
      <c r="Z22" s="89">
        <f>SUM(S22:Y22)</f>
        <v>329</v>
      </c>
      <c r="AA22" s="12">
        <f aca="true" t="shared" si="15" ref="AA22:AA30">Z22/1.1</f>
        <v>299.09090909090907</v>
      </c>
      <c r="AB22" s="54">
        <f aca="true" t="shared" si="16" ref="AB22:AB30">Z22-AA22</f>
        <v>29.909090909090935</v>
      </c>
      <c r="AC22" s="51" t="e">
        <f t="shared" si="11"/>
        <v>#REF!</v>
      </c>
      <c r="AD22" s="1" t="e">
        <f t="shared" si="12"/>
        <v>#REF!</v>
      </c>
      <c r="AE22" s="1" t="e">
        <f t="shared" si="13"/>
        <v>#REF!</v>
      </c>
      <c r="AF22" s="16">
        <f t="shared" si="9"/>
        <v>29.909090909090935</v>
      </c>
      <c r="AG22" s="58"/>
      <c r="AH22" s="58"/>
    </row>
    <row r="23" spans="1:34" ht="15.75">
      <c r="A23" s="15">
        <f t="shared" si="10"/>
        <v>4</v>
      </c>
      <c r="B23" s="55" t="s">
        <v>28</v>
      </c>
      <c r="C23" s="56"/>
      <c r="D23" s="11">
        <v>934.9</v>
      </c>
      <c r="E23" s="47" t="e">
        <f>#REF!</f>
        <v>#REF!</v>
      </c>
      <c r="F23" s="5"/>
      <c r="G23" s="114"/>
      <c r="H23" s="48"/>
      <c r="I23" s="48"/>
      <c r="J23" s="48"/>
      <c r="K23" s="49"/>
      <c r="L23" s="57"/>
      <c r="M23" s="57"/>
      <c r="N23" s="55"/>
      <c r="O23" s="31"/>
      <c r="P23" s="51" t="e">
        <f t="shared" si="4"/>
        <v>#REF!</v>
      </c>
      <c r="Q23" s="1" t="e">
        <f t="shared" si="14"/>
        <v>#REF!</v>
      </c>
      <c r="R23" s="16" t="e">
        <f t="shared" si="6"/>
        <v>#REF!</v>
      </c>
      <c r="S23" s="29"/>
      <c r="T23" s="5"/>
      <c r="U23" s="27"/>
      <c r="V23" s="5"/>
      <c r="W23" s="5"/>
      <c r="X23" s="27"/>
      <c r="Y23" s="11"/>
      <c r="Z23" s="89"/>
      <c r="AA23" s="12"/>
      <c r="AB23" s="54"/>
      <c r="AC23" s="51" t="e">
        <f t="shared" si="11"/>
        <v>#REF!</v>
      </c>
      <c r="AD23" s="1" t="e">
        <f t="shared" si="12"/>
        <v>#REF!</v>
      </c>
      <c r="AE23" s="1" t="e">
        <f t="shared" si="13"/>
        <v>#REF!</v>
      </c>
      <c r="AF23" s="16">
        <f t="shared" si="9"/>
        <v>0</v>
      </c>
      <c r="AG23" s="58"/>
      <c r="AH23" s="58"/>
    </row>
    <row r="24" spans="1:34" s="111" customFormat="1" ht="15.75">
      <c r="A24" s="97">
        <f t="shared" si="10"/>
        <v>5</v>
      </c>
      <c r="B24" s="98" t="s">
        <v>15</v>
      </c>
      <c r="C24" s="97"/>
      <c r="D24" s="95"/>
      <c r="E24" s="47" t="e">
        <f>#REF!</f>
        <v>#REF!</v>
      </c>
      <c r="F24" s="49">
        <v>343.7</v>
      </c>
      <c r="G24" s="114"/>
      <c r="H24" s="48" t="e">
        <f>#REF!</f>
        <v>#REF!</v>
      </c>
      <c r="I24" s="48"/>
      <c r="J24" s="48">
        <v>3645</v>
      </c>
      <c r="K24" s="49"/>
      <c r="L24" s="101"/>
      <c r="M24" s="101"/>
      <c r="N24" s="98">
        <v>129.6</v>
      </c>
      <c r="O24" s="99"/>
      <c r="P24" s="102" t="e">
        <f t="shared" si="4"/>
        <v>#REF!</v>
      </c>
      <c r="Q24" s="1" t="e">
        <f t="shared" si="14"/>
        <v>#REF!</v>
      </c>
      <c r="R24" s="104" t="e">
        <f t="shared" si="6"/>
        <v>#REF!</v>
      </c>
      <c r="S24" s="105"/>
      <c r="T24" s="100"/>
      <c r="U24" s="106"/>
      <c r="V24" s="100"/>
      <c r="W24" s="100"/>
      <c r="X24" s="106"/>
      <c r="Y24" s="95">
        <v>419.3</v>
      </c>
      <c r="Z24" s="107">
        <f>SUM(S24:Y24)</f>
        <v>419.3</v>
      </c>
      <c r="AA24" s="108">
        <f>Z24/1.1</f>
        <v>381.1818181818182</v>
      </c>
      <c r="AB24" s="109">
        <f>Z24-AA24</f>
        <v>38.118181818181824</v>
      </c>
      <c r="AC24" s="102" t="e">
        <f t="shared" si="11"/>
        <v>#REF!</v>
      </c>
      <c r="AD24" s="103" t="e">
        <f t="shared" si="12"/>
        <v>#REF!</v>
      </c>
      <c r="AE24" s="103" t="e">
        <f t="shared" si="13"/>
        <v>#REF!</v>
      </c>
      <c r="AF24" s="104">
        <f t="shared" si="9"/>
        <v>38.118181818181824</v>
      </c>
      <c r="AG24" s="110"/>
      <c r="AH24" s="110"/>
    </row>
    <row r="25" spans="1:34" s="33" customFormat="1" ht="15.75">
      <c r="A25" s="15">
        <f t="shared" si="10"/>
        <v>6</v>
      </c>
      <c r="B25" s="46" t="s">
        <v>31</v>
      </c>
      <c r="C25" s="15"/>
      <c r="D25" s="10">
        <v>36.5</v>
      </c>
      <c r="E25" s="47" t="e">
        <f>#REF!</f>
        <v>#REF!</v>
      </c>
      <c r="F25" s="49"/>
      <c r="G25" s="114"/>
      <c r="H25" s="48"/>
      <c r="I25" s="48" t="e">
        <f>#REF!</f>
        <v>#REF!</v>
      </c>
      <c r="J25" s="48" t="e">
        <f>#REF!</f>
        <v>#REF!</v>
      </c>
      <c r="K25" s="49" t="e">
        <f>#REF!</f>
        <v>#REF!</v>
      </c>
      <c r="L25" s="50"/>
      <c r="M25" s="50"/>
      <c r="N25" s="46"/>
      <c r="O25" s="47"/>
      <c r="P25" s="51" t="e">
        <f t="shared" si="4"/>
        <v>#REF!</v>
      </c>
      <c r="Q25" s="1" t="e">
        <f t="shared" si="14"/>
        <v>#REF!</v>
      </c>
      <c r="R25" s="16" t="e">
        <f t="shared" si="6"/>
        <v>#REF!</v>
      </c>
      <c r="S25" s="29"/>
      <c r="T25" s="49"/>
      <c r="U25" s="26"/>
      <c r="V25" s="49"/>
      <c r="W25" s="49"/>
      <c r="X25" s="26">
        <v>423</v>
      </c>
      <c r="Y25" s="10">
        <v>82</v>
      </c>
      <c r="Z25" s="89">
        <f>SUM(S25:Y25)</f>
        <v>505</v>
      </c>
      <c r="AA25" s="12">
        <f t="shared" si="15"/>
        <v>459.09090909090907</v>
      </c>
      <c r="AB25" s="54">
        <f t="shared" si="16"/>
        <v>45.909090909090935</v>
      </c>
      <c r="AC25" s="51" t="e">
        <f t="shared" si="11"/>
        <v>#REF!</v>
      </c>
      <c r="AD25" s="1" t="e">
        <f t="shared" si="12"/>
        <v>#REF!</v>
      </c>
      <c r="AE25" s="1" t="e">
        <f t="shared" si="13"/>
        <v>#REF!</v>
      </c>
      <c r="AF25" s="16">
        <f t="shared" si="9"/>
        <v>45.909090909090935</v>
      </c>
      <c r="AG25" s="52"/>
      <c r="AH25" s="52"/>
    </row>
    <row r="26" spans="1:34" ht="15.75">
      <c r="A26" s="15">
        <f t="shared" si="10"/>
        <v>7</v>
      </c>
      <c r="B26" s="55" t="s">
        <v>59</v>
      </c>
      <c r="C26" s="56"/>
      <c r="D26" s="11"/>
      <c r="E26" s="47"/>
      <c r="F26" s="5"/>
      <c r="G26" s="114" t="e">
        <f>#REF!</f>
        <v>#REF!</v>
      </c>
      <c r="H26" s="48"/>
      <c r="I26" s="48" t="e">
        <f>#REF!</f>
        <v>#REF!</v>
      </c>
      <c r="J26" s="48"/>
      <c r="K26" s="49"/>
      <c r="L26" s="57"/>
      <c r="M26" s="57"/>
      <c r="N26" s="55"/>
      <c r="O26" s="31"/>
      <c r="P26" s="51" t="e">
        <f t="shared" si="4"/>
        <v>#REF!</v>
      </c>
      <c r="Q26" s="1" t="e">
        <f t="shared" si="14"/>
        <v>#REF!</v>
      </c>
      <c r="R26" s="16" t="e">
        <f t="shared" si="6"/>
        <v>#REF!</v>
      </c>
      <c r="S26" s="29"/>
      <c r="T26" s="5"/>
      <c r="U26" s="27"/>
      <c r="V26" s="5"/>
      <c r="W26" s="5"/>
      <c r="X26" s="27"/>
      <c r="Y26" s="11"/>
      <c r="Z26" s="89"/>
      <c r="AA26" s="12"/>
      <c r="AB26" s="54"/>
      <c r="AC26" s="51" t="e">
        <f t="shared" si="11"/>
        <v>#REF!</v>
      </c>
      <c r="AD26" s="1" t="e">
        <f t="shared" si="12"/>
        <v>#REF!</v>
      </c>
      <c r="AE26" s="1" t="e">
        <f t="shared" si="13"/>
        <v>#REF!</v>
      </c>
      <c r="AF26" s="16"/>
      <c r="AG26" s="58"/>
      <c r="AH26" s="58"/>
    </row>
    <row r="27" spans="1:34" ht="15.75">
      <c r="A27" s="15">
        <f t="shared" si="10"/>
        <v>8</v>
      </c>
      <c r="B27" s="59" t="s">
        <v>29</v>
      </c>
      <c r="C27" s="60"/>
      <c r="D27" s="61">
        <v>352.9</v>
      </c>
      <c r="E27" s="47" t="e">
        <f>#REF!</f>
        <v>#REF!</v>
      </c>
      <c r="F27" s="62"/>
      <c r="G27" s="114"/>
      <c r="H27" s="48"/>
      <c r="I27" s="48"/>
      <c r="J27" s="48"/>
      <c r="K27" s="49"/>
      <c r="L27" s="63"/>
      <c r="M27" s="63"/>
      <c r="N27" s="59"/>
      <c r="O27" s="78"/>
      <c r="P27" s="51" t="e">
        <f t="shared" si="4"/>
        <v>#REF!</v>
      </c>
      <c r="Q27" s="1" t="e">
        <f t="shared" si="14"/>
        <v>#REF!</v>
      </c>
      <c r="R27" s="16" t="e">
        <f t="shared" si="6"/>
        <v>#REF!</v>
      </c>
      <c r="S27" s="64"/>
      <c r="T27" s="62"/>
      <c r="U27" s="28"/>
      <c r="V27" s="62"/>
      <c r="W27" s="62"/>
      <c r="X27" s="28"/>
      <c r="Y27" s="11"/>
      <c r="Z27" s="89"/>
      <c r="AA27" s="12"/>
      <c r="AB27" s="54"/>
      <c r="AC27" s="51" t="e">
        <f t="shared" si="11"/>
        <v>#REF!</v>
      </c>
      <c r="AD27" s="1" t="e">
        <f t="shared" si="12"/>
        <v>#REF!</v>
      </c>
      <c r="AE27" s="1" t="e">
        <f t="shared" si="13"/>
        <v>#REF!</v>
      </c>
      <c r="AF27" s="16"/>
      <c r="AG27" s="65"/>
      <c r="AH27" s="65"/>
    </row>
    <row r="28" spans="1:34" ht="15.75">
      <c r="A28" s="15">
        <f t="shared" si="10"/>
        <v>9</v>
      </c>
      <c r="B28" s="59" t="s">
        <v>41</v>
      </c>
      <c r="C28" s="60"/>
      <c r="D28" s="61"/>
      <c r="E28" s="47"/>
      <c r="F28" s="62"/>
      <c r="G28" s="114" t="e">
        <f>#REF!</f>
        <v>#REF!</v>
      </c>
      <c r="H28" s="48" t="e">
        <f>#REF!</f>
        <v>#REF!</v>
      </c>
      <c r="I28" s="48" t="e">
        <f>#REF!</f>
        <v>#REF!</v>
      </c>
      <c r="J28" s="48" t="e">
        <f>#REF!</f>
        <v>#REF!</v>
      </c>
      <c r="K28" s="49"/>
      <c r="L28" s="63"/>
      <c r="M28" s="63"/>
      <c r="N28" s="59"/>
      <c r="O28" s="78"/>
      <c r="P28" s="51" t="e">
        <f t="shared" si="4"/>
        <v>#REF!</v>
      </c>
      <c r="Q28" s="1" t="e">
        <f t="shared" si="14"/>
        <v>#REF!</v>
      </c>
      <c r="R28" s="16" t="e">
        <f t="shared" si="6"/>
        <v>#REF!</v>
      </c>
      <c r="S28" s="64"/>
      <c r="T28" s="62"/>
      <c r="U28" s="28"/>
      <c r="V28" s="62"/>
      <c r="W28" s="62"/>
      <c r="X28" s="28">
        <v>235</v>
      </c>
      <c r="Y28" s="11"/>
      <c r="Z28" s="89">
        <f>SUM(S28:Y28)</f>
        <v>235</v>
      </c>
      <c r="AA28" s="12">
        <f t="shared" si="15"/>
        <v>213.63636363636363</v>
      </c>
      <c r="AB28" s="54">
        <f t="shared" si="16"/>
        <v>21.363636363636374</v>
      </c>
      <c r="AC28" s="51" t="e">
        <f t="shared" si="11"/>
        <v>#REF!</v>
      </c>
      <c r="AD28" s="1" t="e">
        <f t="shared" si="12"/>
        <v>#REF!</v>
      </c>
      <c r="AE28" s="1" t="e">
        <f t="shared" si="13"/>
        <v>#REF!</v>
      </c>
      <c r="AF28" s="16">
        <f t="shared" si="9"/>
        <v>21.363636363636374</v>
      </c>
      <c r="AG28" s="65"/>
      <c r="AH28" s="65"/>
    </row>
    <row r="29" spans="1:34" ht="15.75">
      <c r="A29" s="15">
        <f t="shared" si="10"/>
        <v>10</v>
      </c>
      <c r="B29" s="59" t="s">
        <v>32</v>
      </c>
      <c r="C29" s="60"/>
      <c r="D29" s="61">
        <v>17.6</v>
      </c>
      <c r="E29" s="47" t="e">
        <f>#REF!</f>
        <v>#REF!</v>
      </c>
      <c r="F29" s="62"/>
      <c r="G29" s="114" t="e">
        <f>#REF!</f>
        <v>#REF!</v>
      </c>
      <c r="H29" s="48"/>
      <c r="I29" s="48" t="e">
        <f>#REF!</f>
        <v>#REF!</v>
      </c>
      <c r="J29" s="48" t="e">
        <f>#REF!</f>
        <v>#REF!</v>
      </c>
      <c r="K29" s="49" t="e">
        <f>#REF!</f>
        <v>#REF!</v>
      </c>
      <c r="L29" s="63"/>
      <c r="M29" s="63"/>
      <c r="N29" s="59"/>
      <c r="O29" s="78"/>
      <c r="P29" s="51" t="e">
        <f t="shared" si="4"/>
        <v>#REF!</v>
      </c>
      <c r="Q29" s="1" t="e">
        <f t="shared" si="14"/>
        <v>#REF!</v>
      </c>
      <c r="R29" s="16" t="e">
        <f t="shared" si="6"/>
        <v>#REF!</v>
      </c>
      <c r="S29" s="64"/>
      <c r="T29" s="62"/>
      <c r="U29" s="28"/>
      <c r="V29" s="62"/>
      <c r="W29" s="62"/>
      <c r="X29" s="28">
        <v>1175</v>
      </c>
      <c r="Y29" s="11">
        <v>574</v>
      </c>
      <c r="Z29" s="89">
        <f>SUM(S29:Y29)</f>
        <v>1749</v>
      </c>
      <c r="AA29" s="12">
        <f t="shared" si="15"/>
        <v>1589.9999999999998</v>
      </c>
      <c r="AB29" s="54">
        <f t="shared" si="16"/>
        <v>159.00000000000023</v>
      </c>
      <c r="AC29" s="51" t="e">
        <f t="shared" si="11"/>
        <v>#REF!</v>
      </c>
      <c r="AD29" s="1" t="e">
        <f t="shared" si="12"/>
        <v>#REF!</v>
      </c>
      <c r="AE29" s="1" t="e">
        <f t="shared" si="13"/>
        <v>#REF!</v>
      </c>
      <c r="AF29" s="16">
        <f t="shared" si="9"/>
        <v>159.00000000000023</v>
      </c>
      <c r="AG29" s="65"/>
      <c r="AH29" s="65"/>
    </row>
    <row r="30" spans="1:34" ht="15.75">
      <c r="A30" s="15">
        <f t="shared" si="10"/>
        <v>11</v>
      </c>
      <c r="B30" s="59" t="s">
        <v>42</v>
      </c>
      <c r="C30" s="60"/>
      <c r="D30" s="61"/>
      <c r="E30" s="47"/>
      <c r="F30" s="62"/>
      <c r="G30" s="114"/>
      <c r="H30" s="48"/>
      <c r="I30" s="48"/>
      <c r="J30" s="48" t="e">
        <f>#REF!</f>
        <v>#REF!</v>
      </c>
      <c r="K30" s="49"/>
      <c r="L30" s="63"/>
      <c r="M30" s="63"/>
      <c r="N30" s="59"/>
      <c r="O30" s="78"/>
      <c r="P30" s="51" t="e">
        <f t="shared" si="4"/>
        <v>#REF!</v>
      </c>
      <c r="Q30" s="1" t="e">
        <f t="shared" si="14"/>
        <v>#REF!</v>
      </c>
      <c r="R30" s="16" t="e">
        <f t="shared" si="6"/>
        <v>#REF!</v>
      </c>
      <c r="S30" s="64"/>
      <c r="T30" s="62"/>
      <c r="U30" s="28"/>
      <c r="V30" s="62"/>
      <c r="W30" s="62"/>
      <c r="X30" s="28">
        <v>940</v>
      </c>
      <c r="Y30" s="11"/>
      <c r="Z30" s="89">
        <f>SUM(S30:Y30)</f>
        <v>940</v>
      </c>
      <c r="AA30" s="12">
        <f t="shared" si="15"/>
        <v>854.5454545454545</v>
      </c>
      <c r="AB30" s="54">
        <f t="shared" si="16"/>
        <v>85.4545454545455</v>
      </c>
      <c r="AC30" s="51" t="e">
        <f t="shared" si="11"/>
        <v>#REF!</v>
      </c>
      <c r="AD30" s="1" t="e">
        <f t="shared" si="12"/>
        <v>#REF!</v>
      </c>
      <c r="AE30" s="1" t="e">
        <f t="shared" si="13"/>
        <v>#REF!</v>
      </c>
      <c r="AF30" s="16">
        <f t="shared" si="9"/>
        <v>85.4545454545455</v>
      </c>
      <c r="AG30" s="65"/>
      <c r="AH30" s="65"/>
    </row>
    <row r="31" spans="1:34" ht="15.75">
      <c r="A31" s="15">
        <f t="shared" si="10"/>
        <v>12</v>
      </c>
      <c r="B31" s="59" t="s">
        <v>79</v>
      </c>
      <c r="C31" s="60"/>
      <c r="D31" s="61"/>
      <c r="E31" s="47"/>
      <c r="F31" s="62"/>
      <c r="G31" s="114"/>
      <c r="H31" s="48" t="e">
        <f>#REF!</f>
        <v>#REF!</v>
      </c>
      <c r="I31" s="48"/>
      <c r="J31" s="48" t="e">
        <f>#REF!</f>
        <v>#REF!</v>
      </c>
      <c r="K31" s="49"/>
      <c r="L31" s="63"/>
      <c r="M31" s="63"/>
      <c r="N31" s="59"/>
      <c r="O31" s="78"/>
      <c r="P31" s="51" t="e">
        <f t="shared" si="4"/>
        <v>#REF!</v>
      </c>
      <c r="Q31" s="1" t="e">
        <f t="shared" si="14"/>
        <v>#REF!</v>
      </c>
      <c r="R31" s="16" t="e">
        <f t="shared" si="6"/>
        <v>#REF!</v>
      </c>
      <c r="S31" s="64"/>
      <c r="T31" s="62"/>
      <c r="U31" s="28"/>
      <c r="V31" s="62"/>
      <c r="W31" s="62"/>
      <c r="X31" s="28"/>
      <c r="Y31" s="11"/>
      <c r="Z31" s="89"/>
      <c r="AA31" s="12"/>
      <c r="AB31" s="54"/>
      <c r="AC31" s="51" t="e">
        <f t="shared" si="11"/>
        <v>#REF!</v>
      </c>
      <c r="AD31" s="1" t="e">
        <f t="shared" si="12"/>
        <v>#REF!</v>
      </c>
      <c r="AE31" s="1" t="e">
        <f t="shared" si="13"/>
        <v>#REF!</v>
      </c>
      <c r="AF31" s="16"/>
      <c r="AG31" s="65"/>
      <c r="AH31" s="65"/>
    </row>
    <row r="32" spans="1:34" ht="15.75">
      <c r="A32" s="15">
        <f t="shared" si="10"/>
        <v>13</v>
      </c>
      <c r="B32" s="59" t="s">
        <v>45</v>
      </c>
      <c r="C32" s="60"/>
      <c r="D32" s="61"/>
      <c r="E32" s="47"/>
      <c r="F32" s="62">
        <v>581.2</v>
      </c>
      <c r="G32" s="114" t="e">
        <f>#REF!</f>
        <v>#REF!</v>
      </c>
      <c r="H32" s="48"/>
      <c r="I32" s="48" t="e">
        <f>#REF!</f>
        <v>#REF!</v>
      </c>
      <c r="J32" s="48" t="e">
        <f>#REF!</f>
        <v>#REF!</v>
      </c>
      <c r="K32" s="49" t="e">
        <f>#REF!</f>
        <v>#REF!</v>
      </c>
      <c r="L32" s="63"/>
      <c r="M32" s="28"/>
      <c r="N32" s="59">
        <v>3607.9</v>
      </c>
      <c r="O32" s="78"/>
      <c r="P32" s="51" t="e">
        <f t="shared" si="4"/>
        <v>#REF!</v>
      </c>
      <c r="Q32" s="1" t="e">
        <f t="shared" si="14"/>
        <v>#REF!</v>
      </c>
      <c r="R32" s="16" t="e">
        <f t="shared" si="6"/>
        <v>#REF!</v>
      </c>
      <c r="S32" s="64"/>
      <c r="T32" s="62"/>
      <c r="U32" s="28">
        <v>918</v>
      </c>
      <c r="V32" s="62"/>
      <c r="W32" s="62"/>
      <c r="X32" s="28"/>
      <c r="Y32" s="11">
        <v>385</v>
      </c>
      <c r="Z32" s="89">
        <f>SUM(S32:Y32)</f>
        <v>1303</v>
      </c>
      <c r="AA32" s="12">
        <f>Z32/1.1</f>
        <v>1184.5454545454545</v>
      </c>
      <c r="AB32" s="54">
        <f>Z32-AA32</f>
        <v>118.4545454545455</v>
      </c>
      <c r="AC32" s="51" t="e">
        <f t="shared" si="11"/>
        <v>#REF!</v>
      </c>
      <c r="AD32" s="1" t="e">
        <f t="shared" si="12"/>
        <v>#REF!</v>
      </c>
      <c r="AE32" s="1" t="e">
        <f t="shared" si="13"/>
        <v>#REF!</v>
      </c>
      <c r="AF32" s="16"/>
      <c r="AG32" s="65"/>
      <c r="AH32" s="65"/>
    </row>
    <row r="33" spans="1:34" ht="16.5" thickBot="1">
      <c r="A33" s="15">
        <f t="shared" si="10"/>
        <v>14</v>
      </c>
      <c r="B33" s="59" t="s">
        <v>30</v>
      </c>
      <c r="C33" s="60"/>
      <c r="D33" s="61">
        <v>43.4</v>
      </c>
      <c r="E33" s="47" t="e">
        <f>#REF!</f>
        <v>#REF!</v>
      </c>
      <c r="F33" s="62">
        <v>4376.2</v>
      </c>
      <c r="G33" s="114" t="e">
        <f>#REF!</f>
        <v>#REF!</v>
      </c>
      <c r="H33" s="48"/>
      <c r="I33" s="48" t="e">
        <f>#REF!</f>
        <v>#REF!</v>
      </c>
      <c r="J33" s="48" t="e">
        <f>#REF!</f>
        <v>#REF!</v>
      </c>
      <c r="K33" s="49"/>
      <c r="L33" s="63">
        <v>2581.9</v>
      </c>
      <c r="M33" s="77"/>
      <c r="N33" s="80"/>
      <c r="O33" s="32"/>
      <c r="P33" s="51" t="e">
        <f t="shared" si="4"/>
        <v>#REF!</v>
      </c>
      <c r="Q33" s="1" t="e">
        <f t="shared" si="14"/>
        <v>#REF!</v>
      </c>
      <c r="R33" s="16" t="e">
        <f t="shared" si="6"/>
        <v>#REF!</v>
      </c>
      <c r="S33" s="64"/>
      <c r="T33" s="62"/>
      <c r="U33" s="28"/>
      <c r="V33" s="62"/>
      <c r="W33" s="62"/>
      <c r="X33" s="28"/>
      <c r="Y33" s="61">
        <v>1400</v>
      </c>
      <c r="Z33" s="89">
        <f>SUM(S33:Y33)</f>
        <v>1400</v>
      </c>
      <c r="AA33" s="12">
        <f>Z33/1.1</f>
        <v>1272.7272727272725</v>
      </c>
      <c r="AB33" s="54">
        <f>Z33-AA33</f>
        <v>127.27272727272748</v>
      </c>
      <c r="AC33" s="85" t="e">
        <f t="shared" si="11"/>
        <v>#REF!</v>
      </c>
      <c r="AD33" s="86" t="e">
        <f t="shared" si="12"/>
        <v>#REF!</v>
      </c>
      <c r="AE33" s="86" t="e">
        <f t="shared" si="13"/>
        <v>#REF!</v>
      </c>
      <c r="AF33" s="87"/>
      <c r="AG33" s="65"/>
      <c r="AH33" s="65"/>
    </row>
    <row r="34" spans="1:34" ht="39.75" thickBot="1">
      <c r="A34" s="66"/>
      <c r="B34" s="67" t="s">
        <v>43</v>
      </c>
      <c r="C34" s="68">
        <f aca="true" t="shared" si="17" ref="C34:K34">SUM(C4:C33)</f>
        <v>168406.7</v>
      </c>
      <c r="D34" s="69">
        <f t="shared" si="17"/>
        <v>22224.200000000004</v>
      </c>
      <c r="E34" s="70" t="e">
        <f t="shared" si="17"/>
        <v>#REF!</v>
      </c>
      <c r="F34" s="70">
        <f t="shared" si="17"/>
        <v>309968.80000000005</v>
      </c>
      <c r="G34" s="115" t="e">
        <f>SUM(G4:G33)</f>
        <v>#REF!</v>
      </c>
      <c r="H34" s="70" t="e">
        <f t="shared" si="17"/>
        <v>#REF!</v>
      </c>
      <c r="I34" s="70" t="e">
        <f t="shared" si="17"/>
        <v>#REF!</v>
      </c>
      <c r="J34" s="70" t="e">
        <f t="shared" si="17"/>
        <v>#REF!</v>
      </c>
      <c r="K34" s="2" t="e">
        <f t="shared" si="17"/>
        <v>#REF!</v>
      </c>
      <c r="L34" s="4">
        <f>SUM(L3:L33)</f>
        <v>59281.9</v>
      </c>
      <c r="M34" s="4">
        <f>SUM(M3:M33)</f>
        <v>0</v>
      </c>
      <c r="N34" s="2">
        <f>SUM(N4:N33)</f>
        <v>8143.200000000001</v>
      </c>
      <c r="O34" s="30">
        <f>SUM(O3:O33)</f>
        <v>41720</v>
      </c>
      <c r="P34" s="17" t="e">
        <f>SUM(P4:P33)</f>
        <v>#REF!</v>
      </c>
      <c r="Q34" s="18" t="e">
        <f>SUM(Q4:Q33)</f>
        <v>#REF!</v>
      </c>
      <c r="R34" s="19" t="e">
        <f>SUM(R4:R33)</f>
        <v>#REF!</v>
      </c>
      <c r="S34" s="2">
        <f>SUM(S4:S33)</f>
        <v>3310</v>
      </c>
      <c r="T34" s="2">
        <f>SUM(T2:T33)</f>
        <v>14202</v>
      </c>
      <c r="U34" s="4">
        <f>SUM(U4:U33)</f>
        <v>5576.7</v>
      </c>
      <c r="V34" s="2">
        <f>SUM(V4:V33)</f>
        <v>120478.59999999999</v>
      </c>
      <c r="W34" s="2">
        <f>SUM(W4:W33)</f>
        <v>58433.2</v>
      </c>
      <c r="X34" s="3">
        <f>SUM(X4:X33)</f>
        <v>9188.5</v>
      </c>
      <c r="Y34" s="70">
        <f>SUM(Y3:Y33)</f>
        <v>25700.3</v>
      </c>
      <c r="Z34" s="93">
        <f aca="true" t="shared" si="18" ref="Z34:AF34">SUM(Z4:Z33)</f>
        <v>236889.30000000002</v>
      </c>
      <c r="AA34" s="21">
        <f t="shared" si="18"/>
        <v>170816.70779220777</v>
      </c>
      <c r="AB34" s="21">
        <f t="shared" si="18"/>
        <v>66072.59220779219</v>
      </c>
      <c r="AC34" s="94" t="e">
        <f t="shared" si="18"/>
        <v>#REF!</v>
      </c>
      <c r="AD34" s="68" t="e">
        <f t="shared" si="18"/>
        <v>#REF!</v>
      </c>
      <c r="AE34" s="68" t="e">
        <f t="shared" si="18"/>
        <v>#REF!</v>
      </c>
      <c r="AF34" s="2">
        <f t="shared" si="18"/>
        <v>65826.86493506492</v>
      </c>
      <c r="AG34" s="71"/>
      <c r="AH34" s="72">
        <v>287946.5</v>
      </c>
    </row>
    <row r="36" ht="15.75">
      <c r="H36" s="73"/>
    </row>
  </sheetData>
  <sheetProtection/>
  <mergeCells count="24">
    <mergeCell ref="S1:S2"/>
    <mergeCell ref="L1:O1"/>
    <mergeCell ref="G1:K1"/>
    <mergeCell ref="E1:E2"/>
    <mergeCell ref="F1:F2"/>
    <mergeCell ref="A1:A2"/>
    <mergeCell ref="P1:P2"/>
    <mergeCell ref="Q1:Q2"/>
    <mergeCell ref="R1:R2"/>
    <mergeCell ref="B1:B2"/>
    <mergeCell ref="T1:T2"/>
    <mergeCell ref="U1:U2"/>
    <mergeCell ref="Z1:Z2"/>
    <mergeCell ref="AF1:AF2"/>
    <mergeCell ref="V1:V2"/>
    <mergeCell ref="W1:W2"/>
    <mergeCell ref="X1:X2"/>
    <mergeCell ref="Y1:Y2"/>
    <mergeCell ref="AH1:AH2"/>
    <mergeCell ref="AA1:AA2"/>
    <mergeCell ref="AB1:AB2"/>
    <mergeCell ref="AC1:AC2"/>
    <mergeCell ref="AD1:AD2"/>
    <mergeCell ref="AE1:AE2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="90" zoomScaleNormal="9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B4" sqref="B4:U17"/>
    </sheetView>
  </sheetViews>
  <sheetFormatPr defaultColWidth="9.140625" defaultRowHeight="15"/>
  <cols>
    <col min="1" max="1" width="23.7109375" style="233" customWidth="1"/>
    <col min="2" max="2" width="12.8515625" style="233" customWidth="1"/>
    <col min="3" max="3" width="11.7109375" style="233" customWidth="1"/>
    <col min="4" max="4" width="15.140625" style="233" customWidth="1"/>
    <col min="5" max="5" width="13.57421875" style="233" customWidth="1"/>
    <col min="6" max="6" width="13.28125" style="233" customWidth="1"/>
    <col min="7" max="7" width="12.8515625" style="233" customWidth="1"/>
    <col min="8" max="8" width="11.28125" style="233" customWidth="1"/>
    <col min="9" max="9" width="10.57421875" style="233" customWidth="1"/>
    <col min="10" max="10" width="10.57421875" style="223" customWidth="1"/>
    <col min="11" max="11" width="10.57421875" style="233" customWidth="1"/>
    <col min="12" max="12" width="12.140625" style="229" customWidth="1"/>
    <col min="13" max="13" width="13.00390625" style="233" customWidth="1"/>
    <col min="14" max="14" width="9.421875" style="233" customWidth="1"/>
    <col min="15" max="15" width="16.140625" style="233" customWidth="1"/>
    <col min="16" max="16" width="11.57421875" style="233" customWidth="1"/>
    <col min="17" max="17" width="12.140625" style="233" customWidth="1"/>
    <col min="18" max="18" width="10.00390625" style="233" customWidth="1"/>
    <col min="19" max="19" width="11.28125" style="233" customWidth="1"/>
    <col min="20" max="20" width="11.421875" style="233" customWidth="1"/>
    <col min="21" max="21" width="15.57421875" style="233" customWidth="1"/>
    <col min="22" max="22" width="6.8515625" style="233" customWidth="1"/>
    <col min="23" max="23" width="14.00390625" style="233" customWidth="1"/>
    <col min="24" max="16384" width="9.140625" style="233" customWidth="1"/>
  </cols>
  <sheetData>
    <row r="1" spans="1:21" ht="44.25" customHeight="1">
      <c r="A1" s="529" t="s">
        <v>67</v>
      </c>
      <c r="B1" s="534" t="s">
        <v>117</v>
      </c>
      <c r="C1" s="535"/>
      <c r="D1" s="535"/>
      <c r="E1" s="535"/>
      <c r="F1" s="535"/>
      <c r="G1" s="535"/>
      <c r="H1" s="535"/>
      <c r="I1" s="535"/>
      <c r="J1" s="535"/>
      <c r="K1" s="535"/>
      <c r="L1" s="536"/>
      <c r="M1" s="537" t="s">
        <v>118</v>
      </c>
      <c r="N1" s="537"/>
      <c r="O1" s="537"/>
      <c r="P1" s="537"/>
      <c r="Q1" s="540" t="s">
        <v>101</v>
      </c>
      <c r="R1" s="540"/>
      <c r="S1" s="540"/>
      <c r="T1" s="541"/>
      <c r="U1" s="524" t="s">
        <v>62</v>
      </c>
    </row>
    <row r="2" spans="1:21" ht="89.25" customHeight="1">
      <c r="A2" s="530"/>
      <c r="B2" s="527" t="s">
        <v>82</v>
      </c>
      <c r="C2" s="522" t="s">
        <v>83</v>
      </c>
      <c r="D2" s="522" t="s">
        <v>17</v>
      </c>
      <c r="E2" s="522" t="s">
        <v>18</v>
      </c>
      <c r="F2" s="522" t="s">
        <v>20</v>
      </c>
      <c r="G2" s="522" t="s">
        <v>19</v>
      </c>
      <c r="H2" s="534" t="s">
        <v>102</v>
      </c>
      <c r="I2" s="536"/>
      <c r="J2" s="532" t="s">
        <v>37</v>
      </c>
      <c r="K2" s="522" t="s">
        <v>21</v>
      </c>
      <c r="L2" s="538" t="s">
        <v>125</v>
      </c>
      <c r="M2" s="522" t="s">
        <v>81</v>
      </c>
      <c r="N2" s="522" t="s">
        <v>65</v>
      </c>
      <c r="O2" s="527" t="s">
        <v>61</v>
      </c>
      <c r="P2" s="522" t="s">
        <v>80</v>
      </c>
      <c r="Q2" s="522" t="s">
        <v>126</v>
      </c>
      <c r="R2" s="522" t="s">
        <v>88</v>
      </c>
      <c r="S2" s="522" t="s">
        <v>38</v>
      </c>
      <c r="T2" s="522" t="s">
        <v>23</v>
      </c>
      <c r="U2" s="525"/>
    </row>
    <row r="3" spans="1:21" ht="89.25" customHeight="1">
      <c r="A3" s="531"/>
      <c r="B3" s="528"/>
      <c r="C3" s="523"/>
      <c r="D3" s="523"/>
      <c r="E3" s="523"/>
      <c r="F3" s="523"/>
      <c r="G3" s="523"/>
      <c r="H3" s="234" t="s">
        <v>121</v>
      </c>
      <c r="I3" s="234" t="s">
        <v>47</v>
      </c>
      <c r="J3" s="533"/>
      <c r="K3" s="523"/>
      <c r="L3" s="539"/>
      <c r="M3" s="523"/>
      <c r="N3" s="523"/>
      <c r="O3" s="528"/>
      <c r="P3" s="523"/>
      <c r="Q3" s="523"/>
      <c r="R3" s="523"/>
      <c r="S3" s="523"/>
      <c r="T3" s="523"/>
      <c r="U3" s="526"/>
    </row>
    <row r="4" spans="1:21" ht="66" customHeight="1">
      <c r="A4" s="235" t="s">
        <v>123</v>
      </c>
      <c r="B4" s="236">
        <v>9.2</v>
      </c>
      <c r="C4" s="232"/>
      <c r="D4" s="232">
        <v>6.17</v>
      </c>
      <c r="E4" s="232">
        <v>1.052</v>
      </c>
      <c r="F4" s="232"/>
      <c r="G4" s="232"/>
      <c r="H4" s="232"/>
      <c r="I4" s="232"/>
      <c r="J4" s="217">
        <v>5.81</v>
      </c>
      <c r="K4" s="232"/>
      <c r="L4" s="224"/>
      <c r="M4" s="232">
        <v>2.23</v>
      </c>
      <c r="N4" s="232"/>
      <c r="O4" s="237">
        <v>4.96</v>
      </c>
      <c r="P4" s="232"/>
      <c r="Q4" s="237"/>
      <c r="R4" s="232">
        <v>0.636</v>
      </c>
      <c r="S4" s="217">
        <v>10.58</v>
      </c>
      <c r="T4" s="232"/>
      <c r="U4" s="238">
        <f>SUM(B4:T4)</f>
        <v>40.638</v>
      </c>
    </row>
    <row r="5" spans="1:21" ht="33" customHeight="1">
      <c r="A5" s="235" t="s">
        <v>71</v>
      </c>
      <c r="B5" s="237"/>
      <c r="C5" s="239"/>
      <c r="D5" s="232"/>
      <c r="E5" s="232"/>
      <c r="F5" s="232"/>
      <c r="G5" s="232"/>
      <c r="H5" s="232">
        <v>47.3</v>
      </c>
      <c r="I5" s="240">
        <v>11.32</v>
      </c>
      <c r="J5" s="217"/>
      <c r="K5" s="232"/>
      <c r="L5" s="224"/>
      <c r="M5" s="232"/>
      <c r="N5" s="232"/>
      <c r="O5" s="237"/>
      <c r="P5" s="232">
        <v>0.5</v>
      </c>
      <c r="Q5" s="237">
        <v>3.1</v>
      </c>
      <c r="R5" s="241"/>
      <c r="S5" s="217">
        <v>3.8</v>
      </c>
      <c r="T5" s="232">
        <v>0.299</v>
      </c>
      <c r="U5" s="238">
        <f>SUM(B5:T5)</f>
        <v>66.319</v>
      </c>
    </row>
    <row r="6" spans="1:21" ht="30.75" customHeight="1">
      <c r="A6" s="235" t="s">
        <v>72</v>
      </c>
      <c r="B6" s="237">
        <v>19592.19</v>
      </c>
      <c r="C6" s="239"/>
      <c r="D6" s="232">
        <v>23422</v>
      </c>
      <c r="E6" s="232">
        <v>1623.6</v>
      </c>
      <c r="F6" s="232"/>
      <c r="G6" s="232"/>
      <c r="H6" s="242">
        <v>20300</v>
      </c>
      <c r="I6" s="240">
        <v>10470</v>
      </c>
      <c r="J6" s="217">
        <v>21510.6</v>
      </c>
      <c r="K6" s="232"/>
      <c r="L6" s="224"/>
      <c r="M6" s="232">
        <v>7355</v>
      </c>
      <c r="N6" s="232"/>
      <c r="O6" s="237">
        <v>6596.8</v>
      </c>
      <c r="P6" s="232">
        <v>2541.2</v>
      </c>
      <c r="Q6" s="237">
        <v>9520.5</v>
      </c>
      <c r="R6" s="232"/>
      <c r="S6" s="217">
        <v>8747.4</v>
      </c>
      <c r="T6" s="242">
        <f>T11</f>
        <v>1806.6</v>
      </c>
      <c r="U6" s="238">
        <f>SUM(B6:T6)</f>
        <v>133485.89</v>
      </c>
    </row>
    <row r="7" spans="1:21" ht="61.5" customHeight="1">
      <c r="A7" s="235" t="s">
        <v>85</v>
      </c>
      <c r="C7" s="239">
        <v>947.15</v>
      </c>
      <c r="D7" s="239"/>
      <c r="E7" s="239"/>
      <c r="F7" s="239"/>
      <c r="G7" s="239"/>
      <c r="H7" s="239"/>
      <c r="I7" s="239"/>
      <c r="J7" s="218"/>
      <c r="K7" s="239"/>
      <c r="L7" s="225"/>
      <c r="M7" s="239"/>
      <c r="N7" s="239"/>
      <c r="O7" s="239"/>
      <c r="P7" s="239"/>
      <c r="Q7" s="239">
        <v>0.4</v>
      </c>
      <c r="R7" s="239"/>
      <c r="S7" s="218"/>
      <c r="T7" s="239"/>
      <c r="U7" s="238">
        <f>SUM(B7:T7)</f>
        <v>947.55</v>
      </c>
    </row>
    <row r="8" spans="1:21" ht="30.75" customHeight="1">
      <c r="A8" s="235" t="s">
        <v>72</v>
      </c>
      <c r="B8" s="237"/>
      <c r="C8" s="242">
        <v>759</v>
      </c>
      <c r="D8" s="232"/>
      <c r="E8" s="232"/>
      <c r="F8" s="232"/>
      <c r="G8" s="232"/>
      <c r="H8" s="232"/>
      <c r="I8" s="232"/>
      <c r="J8" s="217"/>
      <c r="K8" s="232"/>
      <c r="L8" s="224"/>
      <c r="M8" s="232"/>
      <c r="N8" s="232"/>
      <c r="O8" s="237"/>
      <c r="P8" s="232"/>
      <c r="Q8" s="237">
        <v>300</v>
      </c>
      <c r="R8" s="232"/>
      <c r="S8" s="217"/>
      <c r="T8" s="232"/>
      <c r="U8" s="238">
        <f>SUM(B8:T8)</f>
        <v>1059</v>
      </c>
    </row>
    <row r="9" spans="1:21" ht="30" customHeight="1">
      <c r="A9" s="235" t="s">
        <v>86</v>
      </c>
      <c r="B9" s="237">
        <v>2275.7</v>
      </c>
      <c r="C9" s="242"/>
      <c r="D9" s="232">
        <v>6770</v>
      </c>
      <c r="E9" s="232"/>
      <c r="F9" s="232">
        <v>4153.3</v>
      </c>
      <c r="G9" s="243">
        <v>1409.5</v>
      </c>
      <c r="H9" s="243"/>
      <c r="I9" s="243"/>
      <c r="J9" s="219" t="s">
        <v>122</v>
      </c>
      <c r="K9" s="243"/>
      <c r="L9" s="224"/>
      <c r="M9" s="244"/>
      <c r="N9" s="232"/>
      <c r="O9" s="237"/>
      <c r="P9" s="242">
        <v>82.6</v>
      </c>
      <c r="Q9" s="237"/>
      <c r="R9" s="232"/>
      <c r="S9" s="217"/>
      <c r="T9" s="232"/>
      <c r="U9" s="238">
        <v>58401.1</v>
      </c>
    </row>
    <row r="10" spans="1:21" ht="35.25" customHeight="1">
      <c r="A10" s="235" t="s">
        <v>44</v>
      </c>
      <c r="B10" s="237">
        <v>2261.68</v>
      </c>
      <c r="C10" s="232"/>
      <c r="D10" s="232">
        <v>6710.5</v>
      </c>
      <c r="E10" s="232"/>
      <c r="F10" s="232">
        <v>4117.6</v>
      </c>
      <c r="G10" s="243">
        <v>1392.6</v>
      </c>
      <c r="H10" s="243"/>
      <c r="I10" s="243"/>
      <c r="J10" s="220" t="s">
        <v>124</v>
      </c>
      <c r="K10" s="243"/>
      <c r="L10" s="224"/>
      <c r="M10" s="244"/>
      <c r="N10" s="232"/>
      <c r="O10" s="237"/>
      <c r="P10" s="232">
        <v>82.47</v>
      </c>
      <c r="Q10" s="237"/>
      <c r="R10" s="232"/>
      <c r="S10" s="217"/>
      <c r="T10" s="232"/>
      <c r="U10" s="238">
        <v>17320.25</v>
      </c>
    </row>
    <row r="11" spans="1:23" ht="31.5" customHeight="1">
      <c r="A11" s="235" t="s">
        <v>69</v>
      </c>
      <c r="B11" s="237">
        <f>B10+B6</f>
        <v>21853.87</v>
      </c>
      <c r="C11" s="245">
        <f>C10+C6+C8</f>
        <v>759</v>
      </c>
      <c r="D11" s="245">
        <f aca="true" t="shared" si="0" ref="D11:K11">D10+D6+D8</f>
        <v>30132.5</v>
      </c>
      <c r="E11" s="245">
        <f t="shared" si="0"/>
        <v>1623.6</v>
      </c>
      <c r="F11" s="245">
        <f t="shared" si="0"/>
        <v>4117.6</v>
      </c>
      <c r="G11" s="245">
        <f t="shared" si="0"/>
        <v>1392.6</v>
      </c>
      <c r="H11" s="245">
        <f t="shared" si="0"/>
        <v>20300</v>
      </c>
      <c r="I11" s="221">
        <f t="shared" si="0"/>
        <v>10470</v>
      </c>
      <c r="J11" s="221">
        <f>J14-J13</f>
        <v>24266.04</v>
      </c>
      <c r="K11" s="245">
        <f t="shared" si="0"/>
        <v>0</v>
      </c>
      <c r="L11" s="226">
        <f aca="true" t="shared" si="1" ref="L11:S11">L10+L6+L8</f>
        <v>0</v>
      </c>
      <c r="M11" s="245">
        <f t="shared" si="1"/>
        <v>7355</v>
      </c>
      <c r="N11" s="245">
        <f t="shared" si="1"/>
        <v>0</v>
      </c>
      <c r="O11" s="245">
        <f t="shared" si="1"/>
        <v>6596.8</v>
      </c>
      <c r="P11" s="245">
        <f t="shared" si="1"/>
        <v>2623.6699999999996</v>
      </c>
      <c r="Q11" s="245">
        <f t="shared" si="1"/>
        <v>9820.5</v>
      </c>
      <c r="R11" s="245">
        <v>1563.8</v>
      </c>
      <c r="S11" s="221">
        <f t="shared" si="1"/>
        <v>8747.4</v>
      </c>
      <c r="T11" s="245">
        <f>T14-T13</f>
        <v>1806.6</v>
      </c>
      <c r="U11" s="238">
        <f>SUM(B11:T11)</f>
        <v>153428.97999999998</v>
      </c>
      <c r="W11" s="365">
        <f>U15+Лист1!P58</f>
        <v>1425482.816</v>
      </c>
    </row>
    <row r="12" spans="1:21" ht="35.25" customHeight="1">
      <c r="A12" s="235" t="s">
        <v>75</v>
      </c>
      <c r="B12" s="236">
        <v>10.12</v>
      </c>
      <c r="C12" s="239"/>
      <c r="D12" s="241">
        <v>15.65</v>
      </c>
      <c r="E12" s="241">
        <v>1.99</v>
      </c>
      <c r="F12" s="241">
        <v>5.06</v>
      </c>
      <c r="G12" s="232">
        <v>1.71</v>
      </c>
      <c r="H12" s="232">
        <v>-36.52</v>
      </c>
      <c r="I12" s="217"/>
      <c r="J12" s="217">
        <v>10.99</v>
      </c>
      <c r="K12" s="232"/>
      <c r="L12" s="224"/>
      <c r="M12" s="241"/>
      <c r="N12" s="232"/>
      <c r="O12" s="236">
        <v>9.38</v>
      </c>
      <c r="P12" s="232"/>
      <c r="Q12" s="236"/>
      <c r="R12" s="241">
        <v>1.03</v>
      </c>
      <c r="S12" s="217"/>
      <c r="T12" s="241">
        <v>1.16</v>
      </c>
      <c r="U12" s="238">
        <f>SUM(B12:T12)</f>
        <v>20.57</v>
      </c>
    </row>
    <row r="13" spans="1:22" ht="38.25" customHeight="1">
      <c r="A13" s="235" t="s">
        <v>74</v>
      </c>
      <c r="B13" s="221">
        <v>1961.33</v>
      </c>
      <c r="D13" s="241">
        <v>2588.8</v>
      </c>
      <c r="E13" s="241">
        <v>328.4</v>
      </c>
      <c r="F13" s="241">
        <v>835.4</v>
      </c>
      <c r="G13" s="232">
        <v>283.5</v>
      </c>
      <c r="H13" s="241">
        <v>-6025.07</v>
      </c>
      <c r="I13" s="217"/>
      <c r="J13" s="217">
        <v>1813.86</v>
      </c>
      <c r="K13" s="232"/>
      <c r="L13" s="224"/>
      <c r="M13" s="241"/>
      <c r="N13" s="232"/>
      <c r="O13" s="236">
        <f>O12*165</f>
        <v>1547.7</v>
      </c>
      <c r="P13" s="232"/>
      <c r="Q13" s="245"/>
      <c r="R13" s="241">
        <v>170.4</v>
      </c>
      <c r="S13" s="217"/>
      <c r="T13" s="241">
        <v>187.4</v>
      </c>
      <c r="U13" s="238">
        <f>SUM(B13:T13)</f>
        <v>3691.72</v>
      </c>
      <c r="V13" s="246"/>
    </row>
    <row r="14" spans="1:21" ht="38.25" customHeight="1">
      <c r="A14" s="235" t="s">
        <v>76</v>
      </c>
      <c r="B14" s="222">
        <v>24412.62</v>
      </c>
      <c r="C14" s="236">
        <f>C13+C11</f>
        <v>759</v>
      </c>
      <c r="D14" s="236">
        <f aca="true" t="shared" si="2" ref="D14:R14">D13+D11</f>
        <v>32721.3</v>
      </c>
      <c r="E14" s="236">
        <f t="shared" si="2"/>
        <v>1952</v>
      </c>
      <c r="F14" s="236">
        <f t="shared" si="2"/>
        <v>4953</v>
      </c>
      <c r="G14" s="236">
        <f t="shared" si="2"/>
        <v>1676.1</v>
      </c>
      <c r="H14" s="236">
        <f t="shared" si="2"/>
        <v>14274.93</v>
      </c>
      <c r="I14" s="222">
        <f t="shared" si="2"/>
        <v>10470</v>
      </c>
      <c r="J14" s="222">
        <v>26079.9</v>
      </c>
      <c r="K14" s="236">
        <f t="shared" si="2"/>
        <v>0</v>
      </c>
      <c r="L14" s="227">
        <f t="shared" si="2"/>
        <v>0</v>
      </c>
      <c r="M14" s="236">
        <f t="shared" si="2"/>
        <v>7355</v>
      </c>
      <c r="N14" s="236">
        <f t="shared" si="2"/>
        <v>0</v>
      </c>
      <c r="O14" s="236">
        <f t="shared" si="2"/>
        <v>8144.5</v>
      </c>
      <c r="P14" s="236">
        <v>2620.54</v>
      </c>
      <c r="Q14" s="236">
        <f t="shared" si="2"/>
        <v>9820.5</v>
      </c>
      <c r="R14" s="236">
        <f t="shared" si="2"/>
        <v>1734.2</v>
      </c>
      <c r="S14" s="222">
        <v>8747.4</v>
      </c>
      <c r="T14" s="236">
        <v>1994</v>
      </c>
      <c r="U14" s="238">
        <f>SUM(B14:T14)</f>
        <v>157714.99000000002</v>
      </c>
    </row>
    <row r="15" spans="1:21" ht="32.25" customHeight="1">
      <c r="A15" s="235" t="s">
        <v>63</v>
      </c>
      <c r="B15" s="247">
        <f>Лист1!E58</f>
        <v>147034.50699999998</v>
      </c>
      <c r="C15" s="247">
        <f>Лист1!F58</f>
        <v>13028.85</v>
      </c>
      <c r="D15" s="247">
        <f>Лист1!G58</f>
        <v>309968.80000000005</v>
      </c>
      <c r="E15" s="247">
        <f>Лист1!H58</f>
        <v>3310</v>
      </c>
      <c r="F15" s="247">
        <f>Лист1!I58</f>
        <v>14202</v>
      </c>
      <c r="G15" s="247">
        <f>Лист1!J58</f>
        <v>5576.7</v>
      </c>
      <c r="H15" s="247">
        <f>Лист1!K58</f>
        <v>59281.9</v>
      </c>
      <c r="I15" s="247">
        <f>Лист1!L58</f>
        <v>37180</v>
      </c>
      <c r="J15" s="247">
        <f>Лист1!M58</f>
        <v>82398.59999999999</v>
      </c>
      <c r="K15" s="247">
        <f>Лист1!N58</f>
        <v>25566.3</v>
      </c>
      <c r="L15" s="247">
        <f>Лист1!O58</f>
        <v>161760</v>
      </c>
      <c r="M15" s="248">
        <f>Лист3!C57</f>
        <v>62038.437</v>
      </c>
      <c r="N15" s="248">
        <f>Лист3!D57</f>
        <v>8573</v>
      </c>
      <c r="O15" s="247">
        <f>Лист3!E57</f>
        <v>387770.85</v>
      </c>
      <c r="P15" s="248">
        <f>Лист3!L57</f>
        <v>6674.6</v>
      </c>
      <c r="Q15" s="247">
        <f>Лист2!C57</f>
        <v>28960.9</v>
      </c>
      <c r="R15" s="248">
        <f>Лист2!D57</f>
        <v>4535.3</v>
      </c>
      <c r="S15" s="230">
        <f>Лист2!E57</f>
        <v>57690.7</v>
      </c>
      <c r="T15" s="248">
        <f>Лист2!F57</f>
        <v>7496.5</v>
      </c>
      <c r="U15" s="249">
        <f>SUM(B15:T15)</f>
        <v>1423047.9440000001</v>
      </c>
    </row>
    <row r="16" spans="1:22" ht="32.25" customHeight="1">
      <c r="A16" s="235" t="s">
        <v>77</v>
      </c>
      <c r="B16" s="250">
        <f>B15/B11</f>
        <v>6.728076400198225</v>
      </c>
      <c r="C16" s="251"/>
      <c r="D16" s="252">
        <v>10.3</v>
      </c>
      <c r="E16" s="251">
        <v>2</v>
      </c>
      <c r="F16" s="251">
        <v>3.4</v>
      </c>
      <c r="G16" s="251">
        <v>4</v>
      </c>
      <c r="H16" s="251">
        <v>2.9</v>
      </c>
      <c r="I16" s="253">
        <f>I15/I11</f>
        <v>3.551098376313276</v>
      </c>
      <c r="J16" s="253">
        <f>J15/J11</f>
        <v>3.395634392756296</v>
      </c>
      <c r="K16" s="251"/>
      <c r="L16" s="228"/>
      <c r="M16" s="253">
        <f>M15/M11</f>
        <v>8.434865669612508</v>
      </c>
      <c r="N16" s="251"/>
      <c r="O16" s="254">
        <f aca="true" t="shared" si="3" ref="O16:T16">O15/O11</f>
        <v>58.78165928935241</v>
      </c>
      <c r="P16" s="253">
        <f t="shared" si="3"/>
        <v>2.5439937187222483</v>
      </c>
      <c r="Q16" s="253">
        <f t="shared" si="3"/>
        <v>2.9490249987271526</v>
      </c>
      <c r="R16" s="253">
        <f t="shared" si="3"/>
        <v>2.9001790510295438</v>
      </c>
      <c r="S16" s="253">
        <f t="shared" si="3"/>
        <v>6.59518256853465</v>
      </c>
      <c r="T16" s="253">
        <f t="shared" si="3"/>
        <v>4.149507361895273</v>
      </c>
      <c r="U16" s="255">
        <f>(U15-K15-L15-N15-O15)/U11</f>
        <v>5.470790420427746</v>
      </c>
      <c r="V16" s="521" t="s">
        <v>127</v>
      </c>
    </row>
    <row r="17" spans="1:25" ht="30.75" customHeight="1">
      <c r="A17" s="235" t="s">
        <v>78</v>
      </c>
      <c r="B17" s="250">
        <f>B15/B14</f>
        <v>6.022889267927817</v>
      </c>
      <c r="C17" s="253">
        <f>C15/C14</f>
        <v>17.165810276679842</v>
      </c>
      <c r="D17" s="250">
        <v>9.5</v>
      </c>
      <c r="E17" s="250">
        <v>1.7</v>
      </c>
      <c r="F17" s="250">
        <v>2.9</v>
      </c>
      <c r="G17" s="250">
        <v>3.3</v>
      </c>
      <c r="H17" s="250">
        <v>4.2</v>
      </c>
      <c r="I17" s="253">
        <f>I15/I14</f>
        <v>3.551098376313276</v>
      </c>
      <c r="J17" s="253">
        <f>J15/J14</f>
        <v>3.1594676359955365</v>
      </c>
      <c r="K17" s="250"/>
      <c r="L17" s="228"/>
      <c r="M17" s="253">
        <f>M15/M14</f>
        <v>8.434865669612508</v>
      </c>
      <c r="N17" s="250"/>
      <c r="O17" s="254">
        <f aca="true" t="shared" si="4" ref="O17:T17">O15/O14</f>
        <v>47.611375775062925</v>
      </c>
      <c r="P17" s="253">
        <f t="shared" si="4"/>
        <v>2.547032291054516</v>
      </c>
      <c r="Q17" s="253">
        <f t="shared" si="4"/>
        <v>2.9490249987271526</v>
      </c>
      <c r="R17" s="253">
        <f t="shared" si="4"/>
        <v>2.6152116249567525</v>
      </c>
      <c r="S17" s="253">
        <f t="shared" si="4"/>
        <v>6.59518256853465</v>
      </c>
      <c r="T17" s="253">
        <f t="shared" si="4"/>
        <v>3.759528585757272</v>
      </c>
      <c r="U17" s="255">
        <f>(U15-K15-L15-N15-O15)/U14</f>
        <v>5.322118043440259</v>
      </c>
      <c r="V17" s="521"/>
      <c r="Y17" s="233" t="s">
        <v>73</v>
      </c>
    </row>
    <row r="20" ht="15.75">
      <c r="O20" s="246"/>
    </row>
  </sheetData>
  <sheetProtection selectLockedCells="1" selectUnlockedCells="1"/>
  <mergeCells count="24">
    <mergeCell ref="P2:P3"/>
    <mergeCell ref="Q2:Q3"/>
    <mergeCell ref="R2:R3"/>
    <mergeCell ref="Q1:T1"/>
    <mergeCell ref="C2:C3"/>
    <mergeCell ref="A1:A3"/>
    <mergeCell ref="B2:B3"/>
    <mergeCell ref="M2:M3"/>
    <mergeCell ref="J2:J3"/>
    <mergeCell ref="K2:K3"/>
    <mergeCell ref="B1:L1"/>
    <mergeCell ref="M1:P1"/>
    <mergeCell ref="H2:I2"/>
    <mergeCell ref="L2:L3"/>
    <mergeCell ref="V16:V17"/>
    <mergeCell ref="G2:G3"/>
    <mergeCell ref="E2:E3"/>
    <mergeCell ref="D2:D3"/>
    <mergeCell ref="F2:F3"/>
    <mergeCell ref="S2:S3"/>
    <mergeCell ref="T2:T3"/>
    <mergeCell ref="U1:U3"/>
    <mergeCell ref="N2:N3"/>
    <mergeCell ref="O2:O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C1:K162"/>
  <sheetViews>
    <sheetView tabSelected="1" view="pageBreakPreview" zoomScale="70" zoomScaleNormal="70" zoomScaleSheetLayoutView="70" zoomScalePageLayoutView="0" workbookViewId="0" topLeftCell="A111">
      <selection activeCell="C125" sqref="C1:J16384"/>
    </sheetView>
  </sheetViews>
  <sheetFormatPr defaultColWidth="9.140625" defaultRowHeight="15"/>
  <cols>
    <col min="3" max="3" width="9.140625" style="568" customWidth="1"/>
    <col min="4" max="4" width="39.421875" style="568" customWidth="1"/>
    <col min="5" max="5" width="27.421875" style="569" customWidth="1"/>
    <col min="6" max="6" width="16.28125" style="569" bestFit="1" customWidth="1"/>
    <col min="7" max="7" width="16.421875" style="569" customWidth="1"/>
    <col min="8" max="8" width="15.421875" style="569" customWidth="1"/>
    <col min="9" max="9" width="15.140625" style="569" customWidth="1"/>
    <col min="10" max="10" width="16.7109375" style="569" customWidth="1"/>
    <col min="11" max="11" width="16.140625" style="0" customWidth="1"/>
    <col min="12" max="12" width="10.28125" style="231" bestFit="1" customWidth="1"/>
    <col min="13" max="13" width="9.140625" style="231" customWidth="1"/>
    <col min="14" max="14" width="14.28125" style="231" customWidth="1"/>
    <col min="15" max="15" width="13.421875" style="231" customWidth="1"/>
    <col min="16" max="16" width="14.421875" style="231" customWidth="1"/>
    <col min="17" max="17" width="12.8515625" style="231" customWidth="1"/>
  </cols>
  <sheetData>
    <row r="1" spans="3:10" ht="28.5">
      <c r="C1" s="562"/>
      <c r="D1" s="562"/>
      <c r="E1" s="563"/>
      <c r="F1" s="563"/>
      <c r="G1" s="563"/>
      <c r="H1" s="564" t="s">
        <v>154</v>
      </c>
      <c r="I1" s="564"/>
      <c r="J1" s="564"/>
    </row>
    <row r="2" spans="3:10" ht="28.5">
      <c r="C2" s="562"/>
      <c r="D2" s="562"/>
      <c r="E2" s="563"/>
      <c r="F2" s="563"/>
      <c r="G2" s="563"/>
      <c r="H2" s="565" t="s">
        <v>153</v>
      </c>
      <c r="I2" s="565"/>
      <c r="J2" s="565"/>
    </row>
    <row r="3" spans="3:10" ht="28.5">
      <c r="C3" s="562"/>
      <c r="D3" s="562"/>
      <c r="E3" s="563"/>
      <c r="F3" s="563"/>
      <c r="G3" s="563"/>
      <c r="H3" s="566"/>
      <c r="I3" s="566"/>
      <c r="J3" s="566"/>
    </row>
    <row r="4" spans="3:10" ht="63.75" customHeight="1">
      <c r="C4" s="567" t="s">
        <v>141</v>
      </c>
      <c r="D4" s="567"/>
      <c r="E4" s="567"/>
      <c r="F4" s="567"/>
      <c r="G4" s="567"/>
      <c r="H4" s="567"/>
      <c r="I4" s="567"/>
      <c r="J4" s="567"/>
    </row>
    <row r="6" ht="15.75" thickBot="1"/>
    <row r="7" spans="3:10" ht="18.75" thickBot="1">
      <c r="C7" s="570" t="s">
        <v>0</v>
      </c>
      <c r="D7" s="571" t="s">
        <v>107</v>
      </c>
      <c r="E7" s="572" t="s">
        <v>119</v>
      </c>
      <c r="F7" s="573"/>
      <c r="G7" s="573"/>
      <c r="H7" s="573"/>
      <c r="I7" s="573"/>
      <c r="J7" s="574"/>
    </row>
    <row r="8" spans="3:10" ht="19.5" customHeight="1" thickBot="1">
      <c r="C8" s="575"/>
      <c r="D8" s="576"/>
      <c r="E8" s="545" t="s">
        <v>94</v>
      </c>
      <c r="F8" s="542" t="s">
        <v>147</v>
      </c>
      <c r="G8" s="543"/>
      <c r="H8" s="543"/>
      <c r="I8" s="543"/>
      <c r="J8" s="544"/>
    </row>
    <row r="9" spans="3:10" ht="19.5" thickBot="1">
      <c r="C9" s="577"/>
      <c r="D9" s="578"/>
      <c r="E9" s="546"/>
      <c r="F9" s="369">
        <v>2012</v>
      </c>
      <c r="G9" s="369">
        <v>2013</v>
      </c>
      <c r="H9" s="369">
        <v>2014</v>
      </c>
      <c r="I9" s="369">
        <v>2015</v>
      </c>
      <c r="J9" s="369">
        <v>2016</v>
      </c>
    </row>
    <row r="10" spans="3:10" ht="18.75">
      <c r="C10" s="579">
        <v>1</v>
      </c>
      <c r="D10" s="216">
        <v>2</v>
      </c>
      <c r="E10" s="370">
        <v>3</v>
      </c>
      <c r="F10" s="371">
        <v>6</v>
      </c>
      <c r="G10" s="372">
        <v>7</v>
      </c>
      <c r="H10" s="371">
        <v>8</v>
      </c>
      <c r="I10" s="372">
        <v>9</v>
      </c>
      <c r="J10" s="373">
        <v>10</v>
      </c>
    </row>
    <row r="11" spans="3:10" ht="54" customHeight="1">
      <c r="C11" s="580">
        <v>1</v>
      </c>
      <c r="D11" s="581" t="s">
        <v>128</v>
      </c>
      <c r="E11" s="582"/>
      <c r="F11" s="582"/>
      <c r="G11" s="582"/>
      <c r="H11" s="582"/>
      <c r="I11" s="582"/>
      <c r="J11" s="583"/>
    </row>
    <row r="12" spans="3:10" ht="56.25">
      <c r="C12" s="584"/>
      <c r="D12" s="585" t="s">
        <v>108</v>
      </c>
      <c r="E12" s="553"/>
      <c r="F12" s="554"/>
      <c r="G12" s="554"/>
      <c r="H12" s="554"/>
      <c r="I12" s="554"/>
      <c r="J12" s="555"/>
    </row>
    <row r="13" spans="3:10" ht="36">
      <c r="C13" s="586"/>
      <c r="D13" s="587" t="s">
        <v>120</v>
      </c>
      <c r="E13" s="367">
        <f>Лист1!E58</f>
        <v>147034.50699999998</v>
      </c>
      <c r="F13" s="588">
        <f>SUM(F14:F17)</f>
        <v>339.738</v>
      </c>
      <c r="G13" s="588">
        <f>SUM(G14:G17)</f>
        <v>36673.69225</v>
      </c>
      <c r="H13" s="588">
        <f>SUM(H14:H17)</f>
        <v>38140.63994</v>
      </c>
      <c r="I13" s="588">
        <f>SUM(I14:I17)</f>
        <v>39607.58763</v>
      </c>
      <c r="J13" s="589">
        <f>SUM(J14:J17)</f>
        <v>32272.849179999997</v>
      </c>
    </row>
    <row r="14" spans="3:11" ht="18">
      <c r="C14" s="586"/>
      <c r="D14" s="360" t="s">
        <v>110</v>
      </c>
      <c r="E14" s="368">
        <f>Лист1!E59</f>
        <v>76552.55784313726</v>
      </c>
      <c r="F14" s="588"/>
      <c r="G14" s="588">
        <f>E14*0.25</f>
        <v>19138.139460784314</v>
      </c>
      <c r="H14" s="588">
        <f>E14*0.26</f>
        <v>19903.665039215688</v>
      </c>
      <c r="I14" s="588">
        <f>E14*0.27</f>
        <v>20669.190617647062</v>
      </c>
      <c r="J14" s="589">
        <f>E14*0.22</f>
        <v>16841.562725490196</v>
      </c>
      <c r="K14" s="366">
        <f>E15-F15</f>
        <v>6049.168999999999</v>
      </c>
    </row>
    <row r="15" spans="3:10" ht="18">
      <c r="C15" s="586"/>
      <c r="D15" s="360" t="s">
        <v>111</v>
      </c>
      <c r="E15" s="368">
        <f>Лист1!E60</f>
        <v>6388.906999999999</v>
      </c>
      <c r="F15" s="588">
        <v>339.738</v>
      </c>
      <c r="G15" s="588">
        <f>K14*0.25</f>
        <v>1512.2922499999997</v>
      </c>
      <c r="H15" s="588">
        <f>K14*0.26</f>
        <v>1572.7839399999998</v>
      </c>
      <c r="I15" s="588">
        <f>K14*0.27</f>
        <v>1633.2756299999999</v>
      </c>
      <c r="J15" s="589">
        <f>K14*0.22</f>
        <v>1330.8171799999998</v>
      </c>
    </row>
    <row r="16" spans="3:10" ht="18">
      <c r="C16" s="586"/>
      <c r="D16" s="360" t="s">
        <v>129</v>
      </c>
      <c r="E16" s="368">
        <f>Лист1!E61</f>
        <v>25637.216862745096</v>
      </c>
      <c r="F16" s="588"/>
      <c r="G16" s="588">
        <f>E16*0.25</f>
        <v>6409.304215686274</v>
      </c>
      <c r="H16" s="588">
        <f>E16*0.26</f>
        <v>6665.676384313725</v>
      </c>
      <c r="I16" s="588">
        <f>E16*0.27</f>
        <v>6922.048552941176</v>
      </c>
      <c r="J16" s="589">
        <f>E16*0.22</f>
        <v>5640.187709803921</v>
      </c>
    </row>
    <row r="17" spans="3:10" ht="18">
      <c r="C17" s="586"/>
      <c r="D17" s="360" t="s">
        <v>109</v>
      </c>
      <c r="E17" s="368">
        <f>Лист1!E62</f>
        <v>38455.82529411764</v>
      </c>
      <c r="F17" s="588"/>
      <c r="G17" s="588">
        <f>E17*0.25</f>
        <v>9613.95632352941</v>
      </c>
      <c r="H17" s="588">
        <f>E17*0.26</f>
        <v>9998.514576470587</v>
      </c>
      <c r="I17" s="588">
        <f>E17*0.27</f>
        <v>10383.072829411763</v>
      </c>
      <c r="J17" s="589">
        <f>E17*0.22</f>
        <v>8460.281564705881</v>
      </c>
    </row>
    <row r="18" spans="3:10" ht="93.75">
      <c r="C18" s="586"/>
      <c r="D18" s="590" t="s">
        <v>112</v>
      </c>
      <c r="E18" s="591"/>
      <c r="F18" s="592"/>
      <c r="G18" s="592"/>
      <c r="H18" s="592"/>
      <c r="I18" s="592"/>
      <c r="J18" s="593"/>
    </row>
    <row r="19" spans="3:10" ht="36">
      <c r="C19" s="586"/>
      <c r="D19" s="587" t="s">
        <v>120</v>
      </c>
      <c r="E19" s="594">
        <f>Лист1!I58</f>
        <v>14202</v>
      </c>
      <c r="F19" s="595"/>
      <c r="G19" s="596">
        <f>SUM(G20:G23)</f>
        <v>3550.5</v>
      </c>
      <c r="H19" s="596">
        <f>SUM(H20:H23)</f>
        <v>3692.5200000000004</v>
      </c>
      <c r="I19" s="596">
        <f>SUM(I20:I23)</f>
        <v>3834.54</v>
      </c>
      <c r="J19" s="597">
        <f>SUM(J20:J23)</f>
        <v>3124.4399999999996</v>
      </c>
    </row>
    <row r="20" spans="3:10" ht="18">
      <c r="C20" s="586"/>
      <c r="D20" s="360" t="s">
        <v>110</v>
      </c>
      <c r="E20" s="598">
        <f>Лист1!I59</f>
        <v>7877.64705882353</v>
      </c>
      <c r="F20" s="595"/>
      <c r="G20" s="588">
        <f>E20*0.25</f>
        <v>1969.4117647058824</v>
      </c>
      <c r="H20" s="588">
        <f>E20*0.26</f>
        <v>2048.188235294118</v>
      </c>
      <c r="I20" s="588">
        <f>E20*0.27</f>
        <v>2126.964705882353</v>
      </c>
      <c r="J20" s="589">
        <f>E20*0.22</f>
        <v>1733.0823529411766</v>
      </c>
    </row>
    <row r="21" spans="3:10" ht="18">
      <c r="C21" s="586"/>
      <c r="D21" s="360" t="s">
        <v>111</v>
      </c>
      <c r="E21" s="598">
        <f>Лист1!I60</f>
        <v>0</v>
      </c>
      <c r="F21" s="595"/>
      <c r="G21" s="588">
        <f>E21*0.25</f>
        <v>0</v>
      </c>
      <c r="H21" s="588">
        <f>E21*0.26</f>
        <v>0</v>
      </c>
      <c r="I21" s="588">
        <f>E21*0.27</f>
        <v>0</v>
      </c>
      <c r="J21" s="589">
        <f>E21*0.22</f>
        <v>0</v>
      </c>
    </row>
    <row r="22" spans="3:10" ht="18">
      <c r="C22" s="586"/>
      <c r="D22" s="361" t="s">
        <v>129</v>
      </c>
      <c r="E22" s="598">
        <f>Лист1!I61</f>
        <v>2529.7411764705885</v>
      </c>
      <c r="F22" s="595"/>
      <c r="G22" s="588">
        <f>E22*0.25</f>
        <v>632.4352941176471</v>
      </c>
      <c r="H22" s="588">
        <f>E22*0.26</f>
        <v>657.732705882353</v>
      </c>
      <c r="I22" s="588">
        <f>E22*0.27</f>
        <v>683.0301176470589</v>
      </c>
      <c r="J22" s="589">
        <f>E22*0.22</f>
        <v>556.5430588235295</v>
      </c>
    </row>
    <row r="23" spans="3:10" ht="18">
      <c r="C23" s="586"/>
      <c r="D23" s="360" t="s">
        <v>109</v>
      </c>
      <c r="E23" s="598">
        <f>Лист1!I62</f>
        <v>3794.611764705882</v>
      </c>
      <c r="F23" s="595"/>
      <c r="G23" s="588">
        <f>E23*0.25</f>
        <v>948.6529411764704</v>
      </c>
      <c r="H23" s="588">
        <f>E23*0.26</f>
        <v>986.5990588235293</v>
      </c>
      <c r="I23" s="588">
        <f>E23*0.27</f>
        <v>1024.545176470588</v>
      </c>
      <c r="J23" s="589">
        <f>E23*0.22</f>
        <v>834.814588235294</v>
      </c>
    </row>
    <row r="24" spans="3:10" ht="37.5">
      <c r="C24" s="586"/>
      <c r="D24" s="590" t="s">
        <v>113</v>
      </c>
      <c r="E24" s="591"/>
      <c r="F24" s="592"/>
      <c r="G24" s="592"/>
      <c r="H24" s="592"/>
      <c r="I24" s="592"/>
      <c r="J24" s="593"/>
    </row>
    <row r="25" spans="3:10" ht="36">
      <c r="C25" s="586"/>
      <c r="D25" s="587" t="s">
        <v>120</v>
      </c>
      <c r="E25" s="594">
        <f>Лист1!J58</f>
        <v>5576.7</v>
      </c>
      <c r="F25" s="595"/>
      <c r="G25" s="596">
        <f>SUM(G26:G29)</f>
        <v>1394.175</v>
      </c>
      <c r="H25" s="596">
        <f>SUM(H26:H29)</f>
        <v>1449.942</v>
      </c>
      <c r="I25" s="596">
        <f>SUM(I26:I29)</f>
        <v>1505.7090000000003</v>
      </c>
      <c r="J25" s="597">
        <f>SUM(J26:J29)</f>
        <v>1226.8739999999998</v>
      </c>
    </row>
    <row r="26" spans="3:10" ht="18">
      <c r="C26" s="586"/>
      <c r="D26" s="360" t="s">
        <v>110</v>
      </c>
      <c r="E26" s="598">
        <f>Лист1!J59</f>
        <v>3261.7323529411765</v>
      </c>
      <c r="F26" s="595"/>
      <c r="G26" s="588">
        <f>E26*0.25</f>
        <v>815.4330882352941</v>
      </c>
      <c r="H26" s="588">
        <f>E26*0.26</f>
        <v>848.0504117647059</v>
      </c>
      <c r="I26" s="588">
        <f>E26*0.27</f>
        <v>880.6677352941177</v>
      </c>
      <c r="J26" s="589">
        <f>E26*0.22</f>
        <v>717.5811176470588</v>
      </c>
    </row>
    <row r="27" spans="3:10" ht="18">
      <c r="C27" s="586"/>
      <c r="D27" s="360" t="s">
        <v>111</v>
      </c>
      <c r="E27" s="598">
        <f>Лист1!J60</f>
        <v>0</v>
      </c>
      <c r="F27" s="595"/>
      <c r="G27" s="588">
        <f>E27*0.25</f>
        <v>0</v>
      </c>
      <c r="H27" s="588">
        <f>E27*0.26</f>
        <v>0</v>
      </c>
      <c r="I27" s="588">
        <f>E27*0.27</f>
        <v>0</v>
      </c>
      <c r="J27" s="589">
        <f>E27*0.22</f>
        <v>0</v>
      </c>
    </row>
    <row r="28" spans="3:10" ht="18">
      <c r="C28" s="586"/>
      <c r="D28" s="361" t="s">
        <v>129</v>
      </c>
      <c r="E28" s="598">
        <f>Лист1!J61</f>
        <v>925.9870588235294</v>
      </c>
      <c r="F28" s="595"/>
      <c r="G28" s="588">
        <f>E28*0.25</f>
        <v>231.49676470588236</v>
      </c>
      <c r="H28" s="588">
        <f>E28*0.26</f>
        <v>240.75663529411767</v>
      </c>
      <c r="I28" s="588">
        <f>E28*0.27</f>
        <v>250.01650588235296</v>
      </c>
      <c r="J28" s="589">
        <f>E28*0.22</f>
        <v>203.71715294117647</v>
      </c>
    </row>
    <row r="29" spans="3:10" ht="18">
      <c r="C29" s="586"/>
      <c r="D29" s="360" t="s">
        <v>109</v>
      </c>
      <c r="E29" s="598">
        <f>Лист1!J62</f>
        <v>1388.980588235294</v>
      </c>
      <c r="F29" s="595"/>
      <c r="G29" s="588">
        <f>E29*0.25</f>
        <v>347.2451470588235</v>
      </c>
      <c r="H29" s="588">
        <f>E29*0.26</f>
        <v>361.13495294117644</v>
      </c>
      <c r="I29" s="588">
        <f>E29*0.27</f>
        <v>375.0247588235294</v>
      </c>
      <c r="J29" s="589">
        <f>E29*0.22</f>
        <v>305.57572941176466</v>
      </c>
    </row>
    <row r="30" spans="3:10" ht="56.25">
      <c r="C30" s="586"/>
      <c r="D30" s="362" t="s">
        <v>114</v>
      </c>
      <c r="E30" s="591"/>
      <c r="F30" s="592"/>
      <c r="G30" s="592"/>
      <c r="H30" s="592"/>
      <c r="I30" s="592"/>
      <c r="J30" s="593"/>
    </row>
    <row r="31" spans="3:10" ht="36">
      <c r="C31" s="586"/>
      <c r="D31" s="587" t="s">
        <v>120</v>
      </c>
      <c r="E31" s="594">
        <f>Лист1!H58</f>
        <v>3310</v>
      </c>
      <c r="F31" s="595"/>
      <c r="G31" s="596">
        <f>SUM(G32:G35)</f>
        <v>827.5</v>
      </c>
      <c r="H31" s="596">
        <f>SUM(H32:H35)</f>
        <v>860.6</v>
      </c>
      <c r="I31" s="596">
        <f>SUM(I32:I35)</f>
        <v>893.7</v>
      </c>
      <c r="J31" s="597">
        <f>SUM(J32:J35)</f>
        <v>728.1999999999999</v>
      </c>
    </row>
    <row r="32" spans="3:10" ht="18">
      <c r="C32" s="586"/>
      <c r="D32" s="360" t="s">
        <v>110</v>
      </c>
      <c r="E32" s="598">
        <f>Лист1!H59</f>
        <v>1947.0588235294117</v>
      </c>
      <c r="F32" s="595"/>
      <c r="G32" s="588">
        <f>E32*0.25</f>
        <v>486.7647058823529</v>
      </c>
      <c r="H32" s="588">
        <f>E32*0.26</f>
        <v>506.2352941176471</v>
      </c>
      <c r="I32" s="588">
        <f>E32*0.27</f>
        <v>525.7058823529412</v>
      </c>
      <c r="J32" s="589">
        <f>E32*0.22</f>
        <v>428.35294117647055</v>
      </c>
    </row>
    <row r="33" spans="3:10" ht="18">
      <c r="C33" s="586"/>
      <c r="D33" s="360" t="s">
        <v>111</v>
      </c>
      <c r="E33" s="598">
        <f>Лист1!H60</f>
        <v>0</v>
      </c>
      <c r="F33" s="595"/>
      <c r="G33" s="588">
        <f>E33*0.25</f>
        <v>0</v>
      </c>
      <c r="H33" s="588">
        <f>E33*0.26</f>
        <v>0</v>
      </c>
      <c r="I33" s="588">
        <f>E33*0.27</f>
        <v>0</v>
      </c>
      <c r="J33" s="589">
        <f>E33*0.22</f>
        <v>0</v>
      </c>
    </row>
    <row r="34" spans="3:10" ht="18">
      <c r="C34" s="586"/>
      <c r="D34" s="360" t="s">
        <v>130</v>
      </c>
      <c r="E34" s="598">
        <f>Лист1!H61</f>
        <v>545.1764705882354</v>
      </c>
      <c r="F34" s="595"/>
      <c r="G34" s="588">
        <f>E34*0.25</f>
        <v>136.29411764705884</v>
      </c>
      <c r="H34" s="588">
        <f>E34*0.26</f>
        <v>141.7458823529412</v>
      </c>
      <c r="I34" s="588">
        <f>E34*0.27</f>
        <v>147.19764705882355</v>
      </c>
      <c r="J34" s="589">
        <f>E34*0.22</f>
        <v>119.93882352941178</v>
      </c>
    </row>
    <row r="35" spans="3:10" ht="18">
      <c r="C35" s="586"/>
      <c r="D35" s="360" t="s">
        <v>109</v>
      </c>
      <c r="E35" s="598">
        <f>Лист1!H62</f>
        <v>817.7647058823529</v>
      </c>
      <c r="F35" s="595"/>
      <c r="G35" s="588">
        <f>E35*0.25</f>
        <v>204.44117647058823</v>
      </c>
      <c r="H35" s="588">
        <f>E35*0.26</f>
        <v>212.61882352941177</v>
      </c>
      <c r="I35" s="588">
        <f>E35*0.27</f>
        <v>220.7964705882353</v>
      </c>
      <c r="J35" s="589">
        <f>E35*0.22</f>
        <v>179.90823529411765</v>
      </c>
    </row>
    <row r="36" spans="3:10" ht="69" customHeight="1">
      <c r="C36" s="586"/>
      <c r="D36" s="362" t="s">
        <v>131</v>
      </c>
      <c r="E36" s="591"/>
      <c r="F36" s="592"/>
      <c r="G36" s="592"/>
      <c r="H36" s="592"/>
      <c r="I36" s="592"/>
      <c r="J36" s="593"/>
    </row>
    <row r="37" spans="3:10" ht="36">
      <c r="C37" s="586"/>
      <c r="D37" s="587" t="s">
        <v>120</v>
      </c>
      <c r="E37" s="594">
        <f>Лист1!G58</f>
        <v>309968.80000000005</v>
      </c>
      <c r="F37" s="588">
        <f>SUM(F38:F41)</f>
        <v>283.201</v>
      </c>
      <c r="G37" s="596">
        <f>SUM(G38:G41)</f>
        <v>77421.39970588236</v>
      </c>
      <c r="H37" s="596">
        <f>SUM(H38:H41)</f>
        <v>80518.25569411766</v>
      </c>
      <c r="I37" s="596">
        <f>SUM(I38:I41)</f>
        <v>83615.11168235296</v>
      </c>
      <c r="J37" s="597">
        <f>SUM(J38:J41)</f>
        <v>68130.83174117647</v>
      </c>
    </row>
    <row r="38" spans="3:10" ht="18">
      <c r="C38" s="586"/>
      <c r="D38" s="360" t="s">
        <v>110</v>
      </c>
      <c r="E38" s="598">
        <f>Лист1!G59</f>
        <v>173705.99705882353</v>
      </c>
      <c r="F38" s="595"/>
      <c r="G38" s="588">
        <f>E38*0.25</f>
        <v>43426.49926470588</v>
      </c>
      <c r="H38" s="588">
        <f>E38*0.26</f>
        <v>45163.55923529412</v>
      </c>
      <c r="I38" s="588">
        <f>E38*0.27</f>
        <v>46900.61920588236</v>
      </c>
      <c r="J38" s="589">
        <f>E38*0.22</f>
        <v>38215.31935294118</v>
      </c>
    </row>
    <row r="39" spans="3:10" ht="18">
      <c r="C39" s="586"/>
      <c r="D39" s="360" t="s">
        <v>111</v>
      </c>
      <c r="E39" s="598">
        <f>Лист1!G60</f>
        <v>0</v>
      </c>
      <c r="F39" s="595"/>
      <c r="G39" s="588">
        <f>E39*0.25</f>
        <v>0</v>
      </c>
      <c r="H39" s="588">
        <f>E39*0.26</f>
        <v>0</v>
      </c>
      <c r="I39" s="588">
        <f>E39*0.27</f>
        <v>0</v>
      </c>
      <c r="J39" s="589">
        <f>E39*0.22</f>
        <v>0</v>
      </c>
    </row>
    <row r="40" spans="3:11" ht="18">
      <c r="C40" s="586"/>
      <c r="D40" s="360" t="s">
        <v>130</v>
      </c>
      <c r="E40" s="598">
        <f>Лист1!G61</f>
        <v>54505.1211764706</v>
      </c>
      <c r="F40" s="588">
        <v>283.201</v>
      </c>
      <c r="G40" s="588">
        <f>K40*0.25</f>
        <v>13555.48</v>
      </c>
      <c r="H40" s="588">
        <f>K40*0.26</f>
        <v>14097.699200000001</v>
      </c>
      <c r="I40" s="588">
        <f>K40*0.27</f>
        <v>14639.9184</v>
      </c>
      <c r="J40" s="589">
        <f>K40*0.22</f>
        <v>11928.8224</v>
      </c>
      <c r="K40" s="355">
        <v>54221.92</v>
      </c>
    </row>
    <row r="41" spans="3:10" ht="18">
      <c r="C41" s="586"/>
      <c r="D41" s="360" t="s">
        <v>109</v>
      </c>
      <c r="E41" s="598">
        <f>Лист1!G62</f>
        <v>81757.6817647059</v>
      </c>
      <c r="F41" s="595"/>
      <c r="G41" s="588">
        <f>E41*0.25</f>
        <v>20439.420441176477</v>
      </c>
      <c r="H41" s="588">
        <f>E41*0.26</f>
        <v>21256.997258823536</v>
      </c>
      <c r="I41" s="588">
        <f>E41*0.27</f>
        <v>22074.574076470595</v>
      </c>
      <c r="J41" s="589">
        <f>E41*0.22</f>
        <v>17986.6899882353</v>
      </c>
    </row>
    <row r="42" spans="3:10" ht="93.75">
      <c r="C42" s="586"/>
      <c r="D42" s="362" t="s">
        <v>133</v>
      </c>
      <c r="E42" s="591"/>
      <c r="F42" s="592"/>
      <c r="G42" s="592"/>
      <c r="H42" s="592"/>
      <c r="I42" s="592"/>
      <c r="J42" s="593"/>
    </row>
    <row r="43" spans="3:10" ht="36">
      <c r="C43" s="586"/>
      <c r="D43" s="587" t="s">
        <v>120</v>
      </c>
      <c r="E43" s="594">
        <f>Лист1!K58</f>
        <v>59281.9</v>
      </c>
      <c r="F43" s="595"/>
      <c r="G43" s="596">
        <f>SUM(G44:G47)</f>
        <v>14820.475</v>
      </c>
      <c r="H43" s="596">
        <f>SUM(H44:H47)</f>
        <v>15413.294</v>
      </c>
      <c r="I43" s="596">
        <f>SUM(I44:I47)</f>
        <v>16006.113000000001</v>
      </c>
      <c r="J43" s="597">
        <f>SUM(J44:J47)</f>
        <v>13042.018</v>
      </c>
    </row>
    <row r="44" spans="3:10" ht="18">
      <c r="C44" s="586"/>
      <c r="D44" s="360" t="s">
        <v>110</v>
      </c>
      <c r="E44" s="598">
        <f>Лист1!K59</f>
        <v>35504.52450980392</v>
      </c>
      <c r="F44" s="595"/>
      <c r="G44" s="588">
        <f>E44*0.25</f>
        <v>8876.13112745098</v>
      </c>
      <c r="H44" s="588">
        <f>E44*0.26</f>
        <v>9231.17637254902</v>
      </c>
      <c r="I44" s="588">
        <f>E44*0.27</f>
        <v>9586.22161764706</v>
      </c>
      <c r="J44" s="589">
        <f>E44*0.22</f>
        <v>7810.995392156863</v>
      </c>
    </row>
    <row r="45" spans="3:10" ht="18">
      <c r="C45" s="586"/>
      <c r="D45" s="360" t="s">
        <v>111</v>
      </c>
      <c r="E45" s="598">
        <f>Лист1!K60</f>
        <v>0</v>
      </c>
      <c r="F45" s="595"/>
      <c r="G45" s="588">
        <f>E45*0.25</f>
        <v>0</v>
      </c>
      <c r="H45" s="588">
        <f>E45*0.26</f>
        <v>0</v>
      </c>
      <c r="I45" s="588">
        <f>E45*0.27</f>
        <v>0</v>
      </c>
      <c r="J45" s="589">
        <f>E45*0.22</f>
        <v>0</v>
      </c>
    </row>
    <row r="46" spans="3:10" ht="18">
      <c r="C46" s="586"/>
      <c r="D46" s="360" t="s">
        <v>130</v>
      </c>
      <c r="E46" s="598">
        <f>Лист1!K61</f>
        <v>9510.950196078433</v>
      </c>
      <c r="F46" s="595"/>
      <c r="G46" s="588">
        <f>E46*0.25</f>
        <v>2377.737549019608</v>
      </c>
      <c r="H46" s="588">
        <f>E46*0.26</f>
        <v>2472.8470509803924</v>
      </c>
      <c r="I46" s="588">
        <f>E46*0.27</f>
        <v>2567.956552941177</v>
      </c>
      <c r="J46" s="589">
        <f>E46*0.22</f>
        <v>2092.409043137255</v>
      </c>
    </row>
    <row r="47" spans="3:10" ht="18">
      <c r="C47" s="586"/>
      <c r="D47" s="360" t="s">
        <v>109</v>
      </c>
      <c r="E47" s="598">
        <f>Лист1!K62</f>
        <v>14266.425294117647</v>
      </c>
      <c r="F47" s="595"/>
      <c r="G47" s="588">
        <f>E47*0.25</f>
        <v>3566.606323529412</v>
      </c>
      <c r="H47" s="588">
        <f>E47*0.26</f>
        <v>3709.2705764705884</v>
      </c>
      <c r="I47" s="588">
        <f>E47*0.27</f>
        <v>3851.934829411765</v>
      </c>
      <c r="J47" s="589">
        <f>E47*0.22</f>
        <v>3138.6135647058823</v>
      </c>
    </row>
    <row r="48" spans="3:10" ht="37.5">
      <c r="C48" s="586"/>
      <c r="D48" s="362" t="s">
        <v>115</v>
      </c>
      <c r="E48" s="591"/>
      <c r="F48" s="592"/>
      <c r="G48" s="592"/>
      <c r="H48" s="592"/>
      <c r="I48" s="592"/>
      <c r="J48" s="593"/>
    </row>
    <row r="49" spans="3:10" ht="36">
      <c r="C49" s="586"/>
      <c r="D49" s="587" t="s">
        <v>120</v>
      </c>
      <c r="E49" s="594">
        <f>Лист1!L58</f>
        <v>37180</v>
      </c>
      <c r="F49" s="595"/>
      <c r="G49" s="596">
        <f>SUM(G50:G53)</f>
        <v>9295</v>
      </c>
      <c r="H49" s="596">
        <f>SUM(H50:H53)</f>
        <v>9666.800000000001</v>
      </c>
      <c r="I49" s="596">
        <f>SUM(I50:I53)</f>
        <v>10038.6</v>
      </c>
      <c r="J49" s="597">
        <f>SUM(J50:J53)</f>
        <v>8179.6</v>
      </c>
    </row>
    <row r="50" spans="3:10" ht="18">
      <c r="C50" s="586"/>
      <c r="D50" s="360" t="s">
        <v>110</v>
      </c>
      <c r="E50" s="598">
        <f>Лист1!L59</f>
        <v>19865</v>
      </c>
      <c r="F50" s="595"/>
      <c r="G50" s="588">
        <f>E50*0.25</f>
        <v>4966.25</v>
      </c>
      <c r="H50" s="588">
        <f>E50*0.26</f>
        <v>5164.900000000001</v>
      </c>
      <c r="I50" s="588">
        <f>E50*0.27</f>
        <v>5363.55</v>
      </c>
      <c r="J50" s="589">
        <f>E50*0.22</f>
        <v>4370.3</v>
      </c>
    </row>
    <row r="51" spans="3:10" ht="18">
      <c r="C51" s="586"/>
      <c r="D51" s="360" t="s">
        <v>111</v>
      </c>
      <c r="E51" s="598">
        <f>Лист1!L60</f>
        <v>0</v>
      </c>
      <c r="F51" s="595"/>
      <c r="G51" s="588">
        <f>E51*0.25</f>
        <v>0</v>
      </c>
      <c r="H51" s="588">
        <f>E51*0.26</f>
        <v>0</v>
      </c>
      <c r="I51" s="588">
        <f>E51*0.27</f>
        <v>0</v>
      </c>
      <c r="J51" s="589">
        <f>E51*0.22</f>
        <v>0</v>
      </c>
    </row>
    <row r="52" spans="3:10" ht="18">
      <c r="C52" s="586"/>
      <c r="D52" s="360" t="s">
        <v>130</v>
      </c>
      <c r="E52" s="598">
        <f>Лист1!L61</f>
        <v>6926</v>
      </c>
      <c r="F52" s="595"/>
      <c r="G52" s="588">
        <f>E52*0.25</f>
        <v>1731.5</v>
      </c>
      <c r="H52" s="588">
        <f>E52*0.26</f>
        <v>1800.76</v>
      </c>
      <c r="I52" s="588">
        <f>E52*0.27</f>
        <v>1870.0200000000002</v>
      </c>
      <c r="J52" s="589">
        <f>E52*0.22</f>
        <v>1523.72</v>
      </c>
    </row>
    <row r="53" spans="3:10" ht="18">
      <c r="C53" s="586"/>
      <c r="D53" s="360" t="s">
        <v>109</v>
      </c>
      <c r="E53" s="598">
        <f>Лист1!L62</f>
        <v>10389</v>
      </c>
      <c r="F53" s="595"/>
      <c r="G53" s="588">
        <f>E53*0.25</f>
        <v>2597.25</v>
      </c>
      <c r="H53" s="588">
        <f>E53*0.26</f>
        <v>2701.14</v>
      </c>
      <c r="I53" s="588">
        <f>E53*0.27</f>
        <v>2805.03</v>
      </c>
      <c r="J53" s="589">
        <f>E53*0.22</f>
        <v>2285.58</v>
      </c>
    </row>
    <row r="54" spans="3:10" ht="37.5">
      <c r="C54" s="586"/>
      <c r="D54" s="362" t="s">
        <v>116</v>
      </c>
      <c r="E54" s="591"/>
      <c r="F54" s="592"/>
      <c r="G54" s="592"/>
      <c r="H54" s="592"/>
      <c r="I54" s="592"/>
      <c r="J54" s="593"/>
    </row>
    <row r="55" spans="3:10" ht="36">
      <c r="C55" s="586"/>
      <c r="D55" s="587" t="s">
        <v>120</v>
      </c>
      <c r="E55" s="594">
        <f>Лист1!F58</f>
        <v>13028.85</v>
      </c>
      <c r="F55" s="595"/>
      <c r="G55" s="596">
        <f>SUM(G56:G59)</f>
        <v>3257.2125</v>
      </c>
      <c r="H55" s="596">
        <f>SUM(H56:H59)</f>
        <v>3387.501</v>
      </c>
      <c r="I55" s="596">
        <f>SUM(I56:I59)</f>
        <v>3517.7895000000003</v>
      </c>
      <c r="J55" s="597">
        <f>SUM(J56:J59)</f>
        <v>2866.347</v>
      </c>
    </row>
    <row r="56" spans="3:10" ht="18">
      <c r="C56" s="586"/>
      <c r="D56" s="360" t="s">
        <v>110</v>
      </c>
      <c r="E56" s="598">
        <f>Лист1!F59</f>
        <v>0</v>
      </c>
      <c r="F56" s="595"/>
      <c r="G56" s="588">
        <f>E56*0.25</f>
        <v>0</v>
      </c>
      <c r="H56" s="588">
        <f>E56*0.26</f>
        <v>0</v>
      </c>
      <c r="I56" s="588">
        <f>E56*0.27</f>
        <v>0</v>
      </c>
      <c r="J56" s="589">
        <f>E56*0.22</f>
        <v>0</v>
      </c>
    </row>
    <row r="57" spans="3:10" ht="18">
      <c r="C57" s="586"/>
      <c r="D57" s="360" t="s">
        <v>111</v>
      </c>
      <c r="E57" s="598">
        <f>Лист1!F60</f>
        <v>13028.85</v>
      </c>
      <c r="F57" s="595"/>
      <c r="G57" s="588">
        <f>E57*0.25</f>
        <v>3257.2125</v>
      </c>
      <c r="H57" s="588">
        <f>E57*0.26</f>
        <v>3387.501</v>
      </c>
      <c r="I57" s="588">
        <f>E57*0.27</f>
        <v>3517.7895000000003</v>
      </c>
      <c r="J57" s="589">
        <f>E57*0.22</f>
        <v>2866.347</v>
      </c>
    </row>
    <row r="58" spans="3:10" ht="18">
      <c r="C58" s="586"/>
      <c r="D58" s="360" t="s">
        <v>130</v>
      </c>
      <c r="E58" s="598">
        <f>Лист1!F61</f>
        <v>0</v>
      </c>
      <c r="F58" s="595"/>
      <c r="G58" s="588">
        <f>E58*0.25</f>
        <v>0</v>
      </c>
      <c r="H58" s="588">
        <f>E58*0.26</f>
        <v>0</v>
      </c>
      <c r="I58" s="588">
        <f>E58*0.27</f>
        <v>0</v>
      </c>
      <c r="J58" s="589">
        <f>E58*0.22</f>
        <v>0</v>
      </c>
    </row>
    <row r="59" spans="3:10" ht="18">
      <c r="C59" s="586"/>
      <c r="D59" s="360" t="s">
        <v>109</v>
      </c>
      <c r="E59" s="598">
        <f>Лист1!F62</f>
        <v>0</v>
      </c>
      <c r="F59" s="595"/>
      <c r="G59" s="588">
        <f>E59*0.25</f>
        <v>0</v>
      </c>
      <c r="H59" s="588">
        <f>E59*0.26</f>
        <v>0</v>
      </c>
      <c r="I59" s="588">
        <f>E59*0.27</f>
        <v>0</v>
      </c>
      <c r="J59" s="589">
        <f>E59*0.22</f>
        <v>0</v>
      </c>
    </row>
    <row r="60" spans="3:10" ht="93.75">
      <c r="C60" s="586"/>
      <c r="D60" s="362" t="s">
        <v>132</v>
      </c>
      <c r="E60" s="591"/>
      <c r="F60" s="592"/>
      <c r="G60" s="592"/>
      <c r="H60" s="592"/>
      <c r="I60" s="592"/>
      <c r="J60" s="593"/>
    </row>
    <row r="61" spans="3:10" ht="36">
      <c r="C61" s="586"/>
      <c r="D61" s="587" t="s">
        <v>120</v>
      </c>
      <c r="E61" s="594">
        <f>Лист1!M58</f>
        <v>82398.59999999999</v>
      </c>
      <c r="F61" s="595"/>
      <c r="G61" s="596">
        <f>SUM(G62:G65)</f>
        <v>20599.649999999998</v>
      </c>
      <c r="H61" s="596">
        <f>SUM(H62:H65)</f>
        <v>21423.636</v>
      </c>
      <c r="I61" s="596">
        <f>SUM(I62:I65)</f>
        <v>22247.621999999996</v>
      </c>
      <c r="J61" s="597">
        <f>SUM(J62:J65)</f>
        <v>18127.692</v>
      </c>
    </row>
    <row r="62" spans="3:10" ht="18">
      <c r="C62" s="586"/>
      <c r="D62" s="360" t="s">
        <v>110</v>
      </c>
      <c r="E62" s="598">
        <f>Лист1!M59</f>
        <v>47423.205882352944</v>
      </c>
      <c r="F62" s="595"/>
      <c r="G62" s="588">
        <f>E62*0.25</f>
        <v>11855.801470588236</v>
      </c>
      <c r="H62" s="588">
        <f>E62*0.26</f>
        <v>12330.033529411767</v>
      </c>
      <c r="I62" s="588">
        <f>E62*0.27</f>
        <v>12804.265588235296</v>
      </c>
      <c r="J62" s="589">
        <f>E62*0.22</f>
        <v>10433.105294117648</v>
      </c>
    </row>
    <row r="63" spans="3:10" ht="18">
      <c r="C63" s="586"/>
      <c r="D63" s="360" t="s">
        <v>111</v>
      </c>
      <c r="E63" s="598">
        <f>Лист1!M60</f>
        <v>0</v>
      </c>
      <c r="F63" s="595"/>
      <c r="G63" s="588">
        <f>E63*0.25</f>
        <v>0</v>
      </c>
      <c r="H63" s="588">
        <f>E63*0.26</f>
        <v>0</v>
      </c>
      <c r="I63" s="588">
        <f>E63*0.27</f>
        <v>0</v>
      </c>
      <c r="J63" s="589">
        <f>E63*0.22</f>
        <v>0</v>
      </c>
    </row>
    <row r="64" spans="3:10" ht="18">
      <c r="C64" s="586"/>
      <c r="D64" s="360" t="s">
        <v>130</v>
      </c>
      <c r="E64" s="598">
        <f>Лист1!M61</f>
        <v>13990.157647058819</v>
      </c>
      <c r="F64" s="595"/>
      <c r="G64" s="588">
        <f>E64*0.25</f>
        <v>3497.5394117647047</v>
      </c>
      <c r="H64" s="588">
        <f>E64*0.26</f>
        <v>3637.440988235293</v>
      </c>
      <c r="I64" s="588">
        <f>E64*0.27</f>
        <v>3777.342564705881</v>
      </c>
      <c r="J64" s="589">
        <f>E64*0.22</f>
        <v>3077.83468235294</v>
      </c>
    </row>
    <row r="65" spans="3:10" ht="18">
      <c r="C65" s="586"/>
      <c r="D65" s="360" t="s">
        <v>109</v>
      </c>
      <c r="E65" s="598">
        <f>Лист1!M62</f>
        <v>20985.23647058823</v>
      </c>
      <c r="F65" s="595"/>
      <c r="G65" s="588">
        <f>E65*0.25</f>
        <v>5246.309117647057</v>
      </c>
      <c r="H65" s="588">
        <f>E65*0.26</f>
        <v>5456.16148235294</v>
      </c>
      <c r="I65" s="588">
        <f>E65*0.27</f>
        <v>5666.013847058822</v>
      </c>
      <c r="J65" s="589">
        <f>E65*0.22</f>
        <v>4616.7520235294105</v>
      </c>
    </row>
    <row r="66" spans="3:10" ht="112.5">
      <c r="C66" s="586"/>
      <c r="D66" s="362" t="s">
        <v>139</v>
      </c>
      <c r="E66" s="591"/>
      <c r="F66" s="592"/>
      <c r="G66" s="592"/>
      <c r="H66" s="592"/>
      <c r="I66" s="592"/>
      <c r="J66" s="593"/>
    </row>
    <row r="67" spans="3:10" ht="36">
      <c r="C67" s="586"/>
      <c r="D67" s="587" t="s">
        <v>120</v>
      </c>
      <c r="E67" s="594">
        <f>Лист1!N58</f>
        <v>25566.3</v>
      </c>
      <c r="F67" s="595"/>
      <c r="G67" s="596">
        <f>SUM(G68:G71)</f>
        <v>6391.575</v>
      </c>
      <c r="H67" s="596">
        <f>SUM(H68:H71)</f>
        <v>6647.238</v>
      </c>
      <c r="I67" s="596">
        <f>SUM(I68:I71)</f>
        <v>6902.901</v>
      </c>
      <c r="J67" s="597">
        <f>SUM(J68:J71)</f>
        <v>5624.585999999999</v>
      </c>
    </row>
    <row r="68" spans="3:10" ht="18">
      <c r="C68" s="586"/>
      <c r="D68" s="360" t="s">
        <v>110</v>
      </c>
      <c r="E68" s="598">
        <f>Лист1!N59</f>
        <v>0</v>
      </c>
      <c r="F68" s="595"/>
      <c r="G68" s="588">
        <f>E68*0.25</f>
        <v>0</v>
      </c>
      <c r="H68" s="588">
        <f>E68*0.26</f>
        <v>0</v>
      </c>
      <c r="I68" s="588">
        <f>E68*0.27</f>
        <v>0</v>
      </c>
      <c r="J68" s="589">
        <f>E68*0.22</f>
        <v>0</v>
      </c>
    </row>
    <row r="69" spans="3:10" ht="18">
      <c r="C69" s="586"/>
      <c r="D69" s="360" t="s">
        <v>111</v>
      </c>
      <c r="E69" s="598">
        <f>Лист1!N60</f>
        <v>0</v>
      </c>
      <c r="F69" s="595"/>
      <c r="G69" s="588">
        <f>E69*0.25</f>
        <v>0</v>
      </c>
      <c r="H69" s="588">
        <f>E69*0.26</f>
        <v>0</v>
      </c>
      <c r="I69" s="588">
        <f>E69*0.27</f>
        <v>0</v>
      </c>
      <c r="J69" s="589">
        <f>E69*0.22</f>
        <v>0</v>
      </c>
    </row>
    <row r="70" spans="3:10" ht="18">
      <c r="C70" s="586"/>
      <c r="D70" s="360" t="s">
        <v>130</v>
      </c>
      <c r="E70" s="598">
        <f>Лист1!N61</f>
        <v>10226.52</v>
      </c>
      <c r="F70" s="595"/>
      <c r="G70" s="588">
        <f>E70*0.25</f>
        <v>2556.63</v>
      </c>
      <c r="H70" s="588">
        <f>E70*0.26</f>
        <v>2658.8952000000004</v>
      </c>
      <c r="I70" s="588">
        <f>E70*0.27</f>
        <v>2761.1604</v>
      </c>
      <c r="J70" s="589">
        <f>E70*0.22</f>
        <v>2249.8344</v>
      </c>
    </row>
    <row r="71" spans="3:10" ht="18">
      <c r="C71" s="586"/>
      <c r="D71" s="360" t="s">
        <v>109</v>
      </c>
      <c r="E71" s="598">
        <f>Лист1!N62</f>
        <v>15339.779999999999</v>
      </c>
      <c r="F71" s="595"/>
      <c r="G71" s="588">
        <f>E71*0.25</f>
        <v>3834.9449999999997</v>
      </c>
      <c r="H71" s="588">
        <f>E71*0.26</f>
        <v>3988.3428</v>
      </c>
      <c r="I71" s="588">
        <f>E71*0.27</f>
        <v>4141.7406</v>
      </c>
      <c r="J71" s="589">
        <f>E71*0.22</f>
        <v>3374.7515999999996</v>
      </c>
    </row>
    <row r="72" spans="3:10" ht="93.75">
      <c r="C72" s="586"/>
      <c r="D72" s="362" t="s">
        <v>142</v>
      </c>
      <c r="E72" s="591"/>
      <c r="F72" s="592"/>
      <c r="G72" s="592"/>
      <c r="H72" s="592"/>
      <c r="I72" s="592"/>
      <c r="J72" s="593"/>
    </row>
    <row r="73" spans="3:10" ht="36">
      <c r="C73" s="586"/>
      <c r="D73" s="587" t="s">
        <v>120</v>
      </c>
      <c r="E73" s="594">
        <f>Лист1!O58</f>
        <v>161760</v>
      </c>
      <c r="F73" s="595"/>
      <c r="G73" s="596">
        <f>SUM(G74:G77)</f>
        <v>40440</v>
      </c>
      <c r="H73" s="596">
        <f>SUM(H74:H77)</f>
        <v>42057.6</v>
      </c>
      <c r="I73" s="596">
        <f>SUM(I74:I77)</f>
        <v>43675.2</v>
      </c>
      <c r="J73" s="597">
        <f>SUM(J74:J77)</f>
        <v>35587.2</v>
      </c>
    </row>
    <row r="74" spans="3:10" ht="18">
      <c r="C74" s="586"/>
      <c r="D74" s="360" t="s">
        <v>110</v>
      </c>
      <c r="E74" s="598">
        <f>Лист1!O59</f>
        <v>90703.92156862745</v>
      </c>
      <c r="F74" s="595"/>
      <c r="G74" s="588">
        <f>E74*0.25</f>
        <v>22675.980392156864</v>
      </c>
      <c r="H74" s="588">
        <f>E74*0.26</f>
        <v>23583.01960784314</v>
      </c>
      <c r="I74" s="588">
        <f>E74*0.27</f>
        <v>24490.058823529413</v>
      </c>
      <c r="J74" s="589">
        <f>E74*0.22</f>
        <v>19954.86274509804</v>
      </c>
    </row>
    <row r="75" spans="3:10" ht="18">
      <c r="C75" s="586"/>
      <c r="D75" s="360" t="s">
        <v>111</v>
      </c>
      <c r="E75" s="598">
        <f>Лист1!O60</f>
        <v>0</v>
      </c>
      <c r="F75" s="595"/>
      <c r="G75" s="588">
        <f>E75*0.25</f>
        <v>0</v>
      </c>
      <c r="H75" s="588">
        <f>E75*0.26</f>
        <v>0</v>
      </c>
      <c r="I75" s="588">
        <f>E75*0.27</f>
        <v>0</v>
      </c>
      <c r="J75" s="589">
        <f>E75*0.22</f>
        <v>0</v>
      </c>
    </row>
    <row r="76" spans="3:10" ht="18">
      <c r="C76" s="586"/>
      <c r="D76" s="360" t="s">
        <v>130</v>
      </c>
      <c r="E76" s="598">
        <f>Лист1!O61</f>
        <v>28422.431372549017</v>
      </c>
      <c r="F76" s="595"/>
      <c r="G76" s="588">
        <f>E76*0.25</f>
        <v>7105.607843137254</v>
      </c>
      <c r="H76" s="588">
        <f>E76*0.26</f>
        <v>7389.832156862744</v>
      </c>
      <c r="I76" s="588">
        <f>E76*0.27</f>
        <v>7674.056470588235</v>
      </c>
      <c r="J76" s="589">
        <f>E76*0.22</f>
        <v>6252.9349019607835</v>
      </c>
    </row>
    <row r="77" spans="3:10" ht="18">
      <c r="C77" s="586"/>
      <c r="D77" s="360" t="s">
        <v>109</v>
      </c>
      <c r="E77" s="598">
        <f>Лист1!O62</f>
        <v>42633.647058823524</v>
      </c>
      <c r="F77" s="595"/>
      <c r="G77" s="588">
        <f>E77*0.25</f>
        <v>10658.411764705881</v>
      </c>
      <c r="H77" s="588">
        <f>E77*0.26</f>
        <v>11084.748235294117</v>
      </c>
      <c r="I77" s="588">
        <f>E77*0.27</f>
        <v>11511.084705882353</v>
      </c>
      <c r="J77" s="589">
        <f>E77*0.22</f>
        <v>9379.402352941175</v>
      </c>
    </row>
    <row r="78" spans="3:10" ht="75">
      <c r="C78" s="586"/>
      <c r="D78" s="362" t="s">
        <v>150</v>
      </c>
      <c r="E78" s="594"/>
      <c r="F78" s="595"/>
      <c r="G78" s="588"/>
      <c r="H78" s="588"/>
      <c r="I78" s="588"/>
      <c r="J78" s="589"/>
    </row>
    <row r="79" spans="3:10" ht="36">
      <c r="C79" s="586"/>
      <c r="D79" s="587" t="s">
        <v>120</v>
      </c>
      <c r="E79" s="594">
        <f>Лист1!P58</f>
        <v>2434.8720000000003</v>
      </c>
      <c r="F79" s="599">
        <v>2434.872</v>
      </c>
      <c r="G79" s="588"/>
      <c r="H79" s="588"/>
      <c r="I79" s="588"/>
      <c r="J79" s="589"/>
    </row>
    <row r="80" spans="3:10" ht="18">
      <c r="C80" s="586"/>
      <c r="D80" s="360" t="s">
        <v>110</v>
      </c>
      <c r="E80" s="598">
        <v>0</v>
      </c>
      <c r="F80" s="599"/>
      <c r="G80" s="588"/>
      <c r="H80" s="588"/>
      <c r="I80" s="588"/>
      <c r="J80" s="589"/>
    </row>
    <row r="81" spans="3:10" ht="18">
      <c r="C81" s="586"/>
      <c r="D81" s="360" t="s">
        <v>111</v>
      </c>
      <c r="E81" s="598">
        <f>Лист1!P60</f>
        <v>2434.8720000000003</v>
      </c>
      <c r="F81" s="599">
        <v>2434.872</v>
      </c>
      <c r="G81" s="588"/>
      <c r="H81" s="588"/>
      <c r="I81" s="588"/>
      <c r="J81" s="589"/>
    </row>
    <row r="82" spans="3:10" ht="18">
      <c r="C82" s="586"/>
      <c r="D82" s="360" t="s">
        <v>130</v>
      </c>
      <c r="E82" s="598">
        <f>Лист1!P62</f>
        <v>0</v>
      </c>
      <c r="F82" s="595"/>
      <c r="G82" s="588"/>
      <c r="H82" s="588"/>
      <c r="I82" s="588"/>
      <c r="J82" s="589"/>
    </row>
    <row r="83" spans="3:10" ht="18">
      <c r="C83" s="586"/>
      <c r="D83" s="360" t="s">
        <v>109</v>
      </c>
      <c r="E83" s="598">
        <f>Лист1!P63</f>
        <v>0</v>
      </c>
      <c r="F83" s="595"/>
      <c r="G83" s="588"/>
      <c r="H83" s="588"/>
      <c r="I83" s="588"/>
      <c r="J83" s="589"/>
    </row>
    <row r="84" spans="3:10" ht="18.75">
      <c r="C84" s="586"/>
      <c r="D84" s="550" t="s">
        <v>143</v>
      </c>
      <c r="E84" s="551"/>
      <c r="F84" s="551"/>
      <c r="G84" s="551"/>
      <c r="H84" s="551"/>
      <c r="I84" s="551"/>
      <c r="J84" s="552"/>
    </row>
    <row r="85" spans="3:10" ht="36">
      <c r="C85" s="586"/>
      <c r="D85" s="587" t="s">
        <v>120</v>
      </c>
      <c r="E85" s="594">
        <f>E73+E67+E61+E55+E49+E43+E37+E31+E25+E19+E13+E79</f>
        <v>861742.5289999999</v>
      </c>
      <c r="F85" s="594">
        <f aca="true" t="shared" si="0" ref="F85:J86">F13+F19+F25+F31+F37+F43+F49+F55+F61+F67+F73+F79</f>
        <v>3057.8109999999997</v>
      </c>
      <c r="G85" s="594">
        <f t="shared" si="0"/>
        <v>214671.17945588237</v>
      </c>
      <c r="H85" s="594">
        <f t="shared" si="0"/>
        <v>223258.02663411765</v>
      </c>
      <c r="I85" s="594">
        <f t="shared" si="0"/>
        <v>231844.873812353</v>
      </c>
      <c r="J85" s="594">
        <f t="shared" si="0"/>
        <v>188910.6379211765</v>
      </c>
    </row>
    <row r="86" spans="3:10" ht="18">
      <c r="C86" s="586"/>
      <c r="D86" s="360" t="s">
        <v>110</v>
      </c>
      <c r="E86" s="598">
        <f>E74+E68+E62+E56+E50+E44+E38+E32+E26+E20+E14+E80</f>
        <v>456841.6450980392</v>
      </c>
      <c r="F86" s="598">
        <f t="shared" si="0"/>
        <v>0</v>
      </c>
      <c r="G86" s="598">
        <f t="shared" si="0"/>
        <v>114210.41127450981</v>
      </c>
      <c r="H86" s="598">
        <f t="shared" si="0"/>
        <v>118778.8277254902</v>
      </c>
      <c r="I86" s="598">
        <f t="shared" si="0"/>
        <v>123347.2441764706</v>
      </c>
      <c r="J86" s="598">
        <f t="shared" si="0"/>
        <v>100505.16192156864</v>
      </c>
    </row>
    <row r="87" spans="3:10" ht="18">
      <c r="C87" s="586"/>
      <c r="D87" s="360" t="s">
        <v>111</v>
      </c>
      <c r="E87" s="598">
        <f>E75+E69+E63+E57+E51+E45+E39+E33+E27+E21+E15+E81</f>
        <v>21852.628999999997</v>
      </c>
      <c r="F87" s="598">
        <f aca="true" t="shared" si="1" ref="F87:J89">F15+F21+F27+F33+F39+F45+F51+F57+F63+F69+F75+F81</f>
        <v>2774.6099999999997</v>
      </c>
      <c r="G87" s="598">
        <f t="shared" si="1"/>
        <v>4769.50475</v>
      </c>
      <c r="H87" s="598">
        <f t="shared" si="1"/>
        <v>4960.28494</v>
      </c>
      <c r="I87" s="598">
        <f t="shared" si="1"/>
        <v>5151.06513</v>
      </c>
      <c r="J87" s="598">
        <f t="shared" si="1"/>
        <v>4197.16418</v>
      </c>
    </row>
    <row r="88" spans="3:10" ht="18">
      <c r="C88" s="586"/>
      <c r="D88" s="360" t="s">
        <v>130</v>
      </c>
      <c r="E88" s="598">
        <f>E76+E70+E64+E58+E52+E46+E40+E34+E28+E22+E16+E82</f>
        <v>153219.30196078433</v>
      </c>
      <c r="F88" s="598">
        <f t="shared" si="1"/>
        <v>283.201</v>
      </c>
      <c r="G88" s="598">
        <f t="shared" si="1"/>
        <v>38234.02519607843</v>
      </c>
      <c r="H88" s="598">
        <f t="shared" si="1"/>
        <v>39763.38620392157</v>
      </c>
      <c r="I88" s="598">
        <f t="shared" si="1"/>
        <v>41292.747211764705</v>
      </c>
      <c r="J88" s="598">
        <f t="shared" si="1"/>
        <v>33645.94217254901</v>
      </c>
    </row>
    <row r="89" spans="3:10" ht="18">
      <c r="C89" s="600"/>
      <c r="D89" s="360" t="s">
        <v>109</v>
      </c>
      <c r="E89" s="598">
        <f>E77+E71+E65+E59+E53+E47+E41+E35+E29+E23+E17+E83</f>
        <v>229828.95294117645</v>
      </c>
      <c r="F89" s="598">
        <f t="shared" si="1"/>
        <v>0</v>
      </c>
      <c r="G89" s="598">
        <f t="shared" si="1"/>
        <v>57457.23823529411</v>
      </c>
      <c r="H89" s="598">
        <f t="shared" si="1"/>
        <v>59755.52776470588</v>
      </c>
      <c r="I89" s="598">
        <f t="shared" si="1"/>
        <v>62053.817294117645</v>
      </c>
      <c r="J89" s="598">
        <f t="shared" si="1"/>
        <v>50562.36964705883</v>
      </c>
    </row>
    <row r="90" spans="3:10" ht="18">
      <c r="C90" s="601"/>
      <c r="D90" s="360"/>
      <c r="E90" s="598"/>
      <c r="F90" s="595"/>
      <c r="G90" s="595"/>
      <c r="H90" s="595"/>
      <c r="I90" s="595"/>
      <c r="J90" s="602"/>
    </row>
    <row r="91" spans="3:10" ht="18">
      <c r="C91" s="603">
        <v>2</v>
      </c>
      <c r="D91" s="547" t="s">
        <v>101</v>
      </c>
      <c r="E91" s="548"/>
      <c r="F91" s="548"/>
      <c r="G91" s="548"/>
      <c r="H91" s="548"/>
      <c r="I91" s="548"/>
      <c r="J91" s="549"/>
    </row>
    <row r="92" spans="3:10" ht="75">
      <c r="C92" s="584"/>
      <c r="D92" s="362" t="s">
        <v>136</v>
      </c>
      <c r="E92" s="591"/>
      <c r="F92" s="592"/>
      <c r="G92" s="592"/>
      <c r="H92" s="592"/>
      <c r="I92" s="592"/>
      <c r="J92" s="593"/>
    </row>
    <row r="93" spans="3:10" ht="36">
      <c r="C93" s="586"/>
      <c r="D93" s="587" t="s">
        <v>120</v>
      </c>
      <c r="E93" s="594">
        <f>Лист2!C57</f>
        <v>28960.9</v>
      </c>
      <c r="F93" s="595"/>
      <c r="G93" s="596">
        <f>SUM(G94:G97)</f>
        <v>7240.224999999999</v>
      </c>
      <c r="H93" s="596">
        <f>SUM(H94:H97)</f>
        <v>7529.834000000001</v>
      </c>
      <c r="I93" s="596">
        <f>SUM(I94:I97)</f>
        <v>7819.442999999999</v>
      </c>
      <c r="J93" s="597">
        <f>SUM(J94:J97)</f>
        <v>6371.397999999999</v>
      </c>
    </row>
    <row r="94" spans="3:10" ht="18">
      <c r="C94" s="586"/>
      <c r="D94" s="360" t="s">
        <v>110</v>
      </c>
      <c r="E94" s="598">
        <f>Лист2!C58</f>
        <v>15915.392156862745</v>
      </c>
      <c r="F94" s="595"/>
      <c r="G94" s="588">
        <f>E94*0.25</f>
        <v>3978.848039215686</v>
      </c>
      <c r="H94" s="588">
        <f>E94*0.26</f>
        <v>4138.001960784314</v>
      </c>
      <c r="I94" s="588">
        <f>E94*0.27</f>
        <v>4297.155882352941</v>
      </c>
      <c r="J94" s="589">
        <f>E94*0.22</f>
        <v>3501.386274509804</v>
      </c>
    </row>
    <row r="95" spans="3:10" ht="18">
      <c r="C95" s="586"/>
      <c r="D95" s="360" t="s">
        <v>111</v>
      </c>
      <c r="E95" s="598">
        <f>Лист2!C59</f>
        <v>4995.9</v>
      </c>
      <c r="F95" s="595"/>
      <c r="G95" s="588">
        <f>E95*0.25</f>
        <v>1248.975</v>
      </c>
      <c r="H95" s="588">
        <f>E95*0.26</f>
        <v>1298.934</v>
      </c>
      <c r="I95" s="588">
        <f>E95*0.27</f>
        <v>1348.893</v>
      </c>
      <c r="J95" s="589">
        <f>E95*0.22</f>
        <v>1099.098</v>
      </c>
    </row>
    <row r="96" spans="3:10" ht="18">
      <c r="C96" s="586"/>
      <c r="D96" s="360" t="s">
        <v>130</v>
      </c>
      <c r="E96" s="598">
        <f>Лист2!C60</f>
        <v>3219.843137254902</v>
      </c>
      <c r="F96" s="595"/>
      <c r="G96" s="588">
        <f>E96*0.25</f>
        <v>804.9607843137255</v>
      </c>
      <c r="H96" s="588">
        <f>E96*0.26</f>
        <v>837.1592156862746</v>
      </c>
      <c r="I96" s="588">
        <f>E96*0.27</f>
        <v>869.3576470588237</v>
      </c>
      <c r="J96" s="589">
        <f>E96*0.22</f>
        <v>708.3654901960784</v>
      </c>
    </row>
    <row r="97" spans="3:10" ht="18">
      <c r="C97" s="586"/>
      <c r="D97" s="360" t="s">
        <v>109</v>
      </c>
      <c r="E97" s="598">
        <f>Лист2!C61</f>
        <v>4829.764705882352</v>
      </c>
      <c r="F97" s="595"/>
      <c r="G97" s="588">
        <f>E97*0.25</f>
        <v>1207.441176470588</v>
      </c>
      <c r="H97" s="588">
        <f>E97*0.26</f>
        <v>1255.7388235294115</v>
      </c>
      <c r="I97" s="588">
        <f>E97*0.27</f>
        <v>1304.0364705882353</v>
      </c>
      <c r="J97" s="589">
        <f>E97*0.22</f>
        <v>1062.5482352941176</v>
      </c>
    </row>
    <row r="98" spans="3:10" ht="75">
      <c r="C98" s="586"/>
      <c r="D98" s="362" t="s">
        <v>137</v>
      </c>
      <c r="E98" s="591"/>
      <c r="F98" s="592"/>
      <c r="G98" s="592"/>
      <c r="H98" s="592"/>
      <c r="I98" s="592"/>
      <c r="J98" s="593"/>
    </row>
    <row r="99" spans="3:10" ht="36">
      <c r="C99" s="586"/>
      <c r="D99" s="587" t="s">
        <v>120</v>
      </c>
      <c r="E99" s="594">
        <f>Лист2!D57</f>
        <v>4535.3</v>
      </c>
      <c r="F99" s="595"/>
      <c r="G99" s="596">
        <f>SUM(G100:G103)</f>
        <v>1133.8249999999998</v>
      </c>
      <c r="H99" s="596">
        <f>SUM(H100:H103)</f>
        <v>1179.1779999999999</v>
      </c>
      <c r="I99" s="596">
        <f>SUM(I100:I103)</f>
        <v>1224.531</v>
      </c>
      <c r="J99" s="597">
        <f>SUM(J100:J103)</f>
        <v>997.766</v>
      </c>
    </row>
    <row r="100" spans="3:10" ht="18">
      <c r="C100" s="586"/>
      <c r="D100" s="360" t="s">
        <v>110</v>
      </c>
      <c r="E100" s="598">
        <f>Лист2!D58</f>
        <v>2625.7617647058823</v>
      </c>
      <c r="F100" s="595"/>
      <c r="G100" s="588">
        <f>E100*0.25</f>
        <v>656.4404411764706</v>
      </c>
      <c r="H100" s="588">
        <f>E100*0.26</f>
        <v>682.6980588235294</v>
      </c>
      <c r="I100" s="588">
        <f>E100*0.27</f>
        <v>708.9556764705883</v>
      </c>
      <c r="J100" s="589">
        <f>E100*0.22</f>
        <v>577.6675882352941</v>
      </c>
    </row>
    <row r="101" spans="3:10" ht="18">
      <c r="C101" s="586"/>
      <c r="D101" s="360" t="s">
        <v>111</v>
      </c>
      <c r="E101" s="598">
        <f>Лист2!D59</f>
        <v>0</v>
      </c>
      <c r="F101" s="595"/>
      <c r="G101" s="588">
        <f>E101*0.25</f>
        <v>0</v>
      </c>
      <c r="H101" s="588">
        <f>E101*0.26</f>
        <v>0</v>
      </c>
      <c r="I101" s="588">
        <f>E101*0.27</f>
        <v>0</v>
      </c>
      <c r="J101" s="589">
        <f>E101*0.22</f>
        <v>0</v>
      </c>
    </row>
    <row r="102" spans="3:10" ht="18">
      <c r="C102" s="586"/>
      <c r="D102" s="360" t="s">
        <v>130</v>
      </c>
      <c r="E102" s="598">
        <f>Лист2!D60</f>
        <v>763.815294117647</v>
      </c>
      <c r="F102" s="595"/>
      <c r="G102" s="588">
        <f>E102*0.25</f>
        <v>190.95382352941175</v>
      </c>
      <c r="H102" s="588">
        <f>E102*0.26</f>
        <v>198.59197647058824</v>
      </c>
      <c r="I102" s="588">
        <f>E102*0.27</f>
        <v>206.2301294117647</v>
      </c>
      <c r="J102" s="589">
        <f>E102*0.22</f>
        <v>168.03936470588235</v>
      </c>
    </row>
    <row r="103" spans="3:10" ht="18">
      <c r="C103" s="586"/>
      <c r="D103" s="360" t="s">
        <v>109</v>
      </c>
      <c r="E103" s="598">
        <f>Лист2!D61</f>
        <v>1145.7229411764704</v>
      </c>
      <c r="F103" s="595"/>
      <c r="G103" s="588">
        <f>E103*0.25</f>
        <v>286.4307352941176</v>
      </c>
      <c r="H103" s="588">
        <f>E103*0.26</f>
        <v>297.8879647058823</v>
      </c>
      <c r="I103" s="588">
        <f>E103*0.27</f>
        <v>309.345194117647</v>
      </c>
      <c r="J103" s="589">
        <f>E103*0.22</f>
        <v>252.0590470588235</v>
      </c>
    </row>
    <row r="104" spans="3:10" ht="37.5">
      <c r="C104" s="586"/>
      <c r="D104" s="362" t="s">
        <v>134</v>
      </c>
      <c r="E104" s="591"/>
      <c r="F104" s="592"/>
      <c r="G104" s="592"/>
      <c r="H104" s="592"/>
      <c r="I104" s="592"/>
      <c r="J104" s="593"/>
    </row>
    <row r="105" spans="3:10" ht="36">
      <c r="C105" s="586"/>
      <c r="D105" s="587" t="s">
        <v>120</v>
      </c>
      <c r="E105" s="594">
        <f>Лист2!E57</f>
        <v>57690.7</v>
      </c>
      <c r="F105" s="595"/>
      <c r="G105" s="596">
        <f>SUM(G106:G109)</f>
        <v>14422.675</v>
      </c>
      <c r="H105" s="596">
        <f>SUM(H106:H109)</f>
        <v>14999.582</v>
      </c>
      <c r="I105" s="596">
        <f>SUM(I106:I109)</f>
        <v>15576.489</v>
      </c>
      <c r="J105" s="597">
        <f>SUM(J106:J109)</f>
        <v>12691.954</v>
      </c>
    </row>
    <row r="106" spans="3:10" ht="18">
      <c r="C106" s="586"/>
      <c r="D106" s="360" t="s">
        <v>110</v>
      </c>
      <c r="E106" s="598">
        <f>Лист2!E58</f>
        <v>31533.5</v>
      </c>
      <c r="F106" s="595"/>
      <c r="G106" s="588">
        <f>E106*0.25</f>
        <v>7883.375</v>
      </c>
      <c r="H106" s="588">
        <f>E106*0.26</f>
        <v>8198.710000000001</v>
      </c>
      <c r="I106" s="588">
        <f>E106*0.27</f>
        <v>8514.045</v>
      </c>
      <c r="J106" s="589">
        <f>E106*0.22</f>
        <v>6937.37</v>
      </c>
    </row>
    <row r="107" spans="3:10" ht="18">
      <c r="C107" s="586"/>
      <c r="D107" s="360" t="s">
        <v>111</v>
      </c>
      <c r="E107" s="598">
        <f>Лист2!E59</f>
        <v>0</v>
      </c>
      <c r="F107" s="595"/>
      <c r="G107" s="588">
        <f>E107*0.25</f>
        <v>0</v>
      </c>
      <c r="H107" s="588">
        <f>E107*0.26</f>
        <v>0</v>
      </c>
      <c r="I107" s="588">
        <f>E107*0.27</f>
        <v>0</v>
      </c>
      <c r="J107" s="589">
        <f>E107*0.22</f>
        <v>0</v>
      </c>
    </row>
    <row r="108" spans="3:10" ht="18">
      <c r="C108" s="586"/>
      <c r="D108" s="360" t="s">
        <v>130</v>
      </c>
      <c r="E108" s="598">
        <f>Лист2!E60</f>
        <v>10462.88</v>
      </c>
      <c r="F108" s="595"/>
      <c r="G108" s="588">
        <f>E108*0.25</f>
        <v>2615.72</v>
      </c>
      <c r="H108" s="588">
        <f>E108*0.26</f>
        <v>2720.3487999999998</v>
      </c>
      <c r="I108" s="588">
        <f>E108*0.27</f>
        <v>2824.9776</v>
      </c>
      <c r="J108" s="589">
        <f>E108*0.22</f>
        <v>2301.8336</v>
      </c>
    </row>
    <row r="109" spans="3:10" ht="18">
      <c r="C109" s="586"/>
      <c r="D109" s="360" t="s">
        <v>109</v>
      </c>
      <c r="E109" s="598">
        <f>Лист2!E61</f>
        <v>15694.319999999998</v>
      </c>
      <c r="F109" s="595"/>
      <c r="G109" s="588">
        <f>E109*0.25</f>
        <v>3923.5799999999995</v>
      </c>
      <c r="H109" s="588">
        <f>E109*0.26</f>
        <v>4080.5231999999996</v>
      </c>
      <c r="I109" s="588">
        <f>E109*0.27</f>
        <v>4237.466399999999</v>
      </c>
      <c r="J109" s="589">
        <f>E109*0.22</f>
        <v>3452.7503999999994</v>
      </c>
    </row>
    <row r="110" spans="3:10" ht="75">
      <c r="C110" s="586"/>
      <c r="D110" s="362" t="s">
        <v>135</v>
      </c>
      <c r="E110" s="591"/>
      <c r="F110" s="592"/>
      <c r="G110" s="592"/>
      <c r="H110" s="592"/>
      <c r="I110" s="592"/>
      <c r="J110" s="593"/>
    </row>
    <row r="111" spans="3:10" ht="36">
      <c r="C111" s="586"/>
      <c r="D111" s="587" t="s">
        <v>120</v>
      </c>
      <c r="E111" s="594">
        <f>Лист2!F57</f>
        <v>7496.5</v>
      </c>
      <c r="F111" s="595"/>
      <c r="G111" s="596">
        <f>SUM(G112:G115)</f>
        <v>1874.1249999999998</v>
      </c>
      <c r="H111" s="596">
        <f>SUM(H112:H115)</f>
        <v>1949.0900000000001</v>
      </c>
      <c r="I111" s="596">
        <f>SUM(I112:I115)</f>
        <v>2024.055</v>
      </c>
      <c r="J111" s="597">
        <f>SUM(J112:J115)</f>
        <v>1649.23</v>
      </c>
    </row>
    <row r="112" spans="3:10" ht="18">
      <c r="C112" s="586"/>
      <c r="D112" s="360" t="s">
        <v>110</v>
      </c>
      <c r="E112" s="598">
        <f>Лист2!F58</f>
        <v>1783.235294117647</v>
      </c>
      <c r="F112" s="595"/>
      <c r="G112" s="588">
        <f>E112*0.25</f>
        <v>445.80882352941177</v>
      </c>
      <c r="H112" s="588">
        <f>E112*0.26</f>
        <v>463.6411764705883</v>
      </c>
      <c r="I112" s="588">
        <f>E112*0.27</f>
        <v>481.47352941176473</v>
      </c>
      <c r="J112" s="589">
        <f>E112*0.22</f>
        <v>392.31176470588235</v>
      </c>
    </row>
    <row r="113" spans="3:10" ht="18">
      <c r="C113" s="586"/>
      <c r="D113" s="360" t="s">
        <v>111</v>
      </c>
      <c r="E113" s="598">
        <f>Лист2!F59</f>
        <v>4465</v>
      </c>
      <c r="F113" s="595"/>
      <c r="G113" s="588">
        <f>E113*0.25</f>
        <v>1116.25</v>
      </c>
      <c r="H113" s="588">
        <f>E113*0.26</f>
        <v>1160.9</v>
      </c>
      <c r="I113" s="588">
        <f>E113*0.27</f>
        <v>1205.5500000000002</v>
      </c>
      <c r="J113" s="589">
        <f>E113*0.22</f>
        <v>982.3</v>
      </c>
    </row>
    <row r="114" spans="3:10" ht="18">
      <c r="C114" s="586"/>
      <c r="D114" s="360" t="s">
        <v>130</v>
      </c>
      <c r="E114" s="598">
        <f>Лист2!F60</f>
        <v>499.3058823529412</v>
      </c>
      <c r="F114" s="595"/>
      <c r="G114" s="588">
        <f>E114*0.25</f>
        <v>124.8264705882353</v>
      </c>
      <c r="H114" s="588">
        <f>E114*0.26</f>
        <v>129.8195294117647</v>
      </c>
      <c r="I114" s="588">
        <f>E114*0.27</f>
        <v>134.81258823529413</v>
      </c>
      <c r="J114" s="589">
        <f>E114*0.22</f>
        <v>109.84729411764707</v>
      </c>
    </row>
    <row r="115" spans="3:10" ht="18">
      <c r="C115" s="586"/>
      <c r="D115" s="360" t="s">
        <v>109</v>
      </c>
      <c r="E115" s="598">
        <f>Лист2!F61</f>
        <v>748.9588235294117</v>
      </c>
      <c r="F115" s="595"/>
      <c r="G115" s="588">
        <f>E115*0.25</f>
        <v>187.23970588235292</v>
      </c>
      <c r="H115" s="588">
        <f>E115*0.26</f>
        <v>194.72929411764704</v>
      </c>
      <c r="I115" s="588">
        <f>E115*0.27</f>
        <v>202.21888235294116</v>
      </c>
      <c r="J115" s="589">
        <f>E115*0.22</f>
        <v>164.7709411764706</v>
      </c>
    </row>
    <row r="116" spans="3:10" ht="18">
      <c r="C116" s="586"/>
      <c r="D116" s="360"/>
      <c r="E116" s="598"/>
      <c r="F116" s="595"/>
      <c r="G116" s="595"/>
      <c r="H116" s="595"/>
      <c r="I116" s="595"/>
      <c r="J116" s="602"/>
    </row>
    <row r="117" spans="3:10" ht="18.75">
      <c r="C117" s="586"/>
      <c r="D117" s="559" t="s">
        <v>143</v>
      </c>
      <c r="E117" s="560"/>
      <c r="F117" s="560"/>
      <c r="G117" s="560"/>
      <c r="H117" s="560"/>
      <c r="I117" s="560"/>
      <c r="J117" s="561"/>
    </row>
    <row r="118" spans="3:10" ht="36">
      <c r="C118" s="586"/>
      <c r="D118" s="587" t="s">
        <v>120</v>
      </c>
      <c r="E118" s="594">
        <f aca="true" t="shared" si="2" ref="E118:J118">E111+E105+E99+E93</f>
        <v>98683.4</v>
      </c>
      <c r="F118" s="594">
        <f t="shared" si="2"/>
        <v>0</v>
      </c>
      <c r="G118" s="594">
        <f t="shared" si="2"/>
        <v>24670.85</v>
      </c>
      <c r="H118" s="594">
        <f t="shared" si="2"/>
        <v>25657.684</v>
      </c>
      <c r="I118" s="594">
        <f t="shared" si="2"/>
        <v>26644.517999999996</v>
      </c>
      <c r="J118" s="604">
        <f t="shared" si="2"/>
        <v>21710.347999999998</v>
      </c>
    </row>
    <row r="119" spans="3:10" ht="18">
      <c r="C119" s="586"/>
      <c r="D119" s="360" t="s">
        <v>110</v>
      </c>
      <c r="E119" s="598">
        <f aca="true" t="shared" si="3" ref="E119:J122">E112+E106+E100+E94</f>
        <v>51857.88921568627</v>
      </c>
      <c r="F119" s="598">
        <f t="shared" si="3"/>
        <v>0</v>
      </c>
      <c r="G119" s="598">
        <f t="shared" si="3"/>
        <v>12964.472303921568</v>
      </c>
      <c r="H119" s="598">
        <f t="shared" si="3"/>
        <v>13483.051196078432</v>
      </c>
      <c r="I119" s="598">
        <f t="shared" si="3"/>
        <v>14001.630088235295</v>
      </c>
      <c r="J119" s="605">
        <f t="shared" si="3"/>
        <v>11408.73562745098</v>
      </c>
    </row>
    <row r="120" spans="3:10" ht="18">
      <c r="C120" s="586"/>
      <c r="D120" s="360" t="s">
        <v>111</v>
      </c>
      <c r="E120" s="598">
        <f t="shared" si="3"/>
        <v>9460.9</v>
      </c>
      <c r="F120" s="598">
        <f t="shared" si="3"/>
        <v>0</v>
      </c>
      <c r="G120" s="598">
        <f t="shared" si="3"/>
        <v>2365.225</v>
      </c>
      <c r="H120" s="598">
        <f t="shared" si="3"/>
        <v>2459.834</v>
      </c>
      <c r="I120" s="598">
        <f t="shared" si="3"/>
        <v>2554.443</v>
      </c>
      <c r="J120" s="605">
        <f t="shared" si="3"/>
        <v>2081.398</v>
      </c>
    </row>
    <row r="121" spans="3:10" ht="18">
      <c r="C121" s="586"/>
      <c r="D121" s="360" t="s">
        <v>130</v>
      </c>
      <c r="E121" s="598">
        <f t="shared" si="3"/>
        <v>14945.844313725489</v>
      </c>
      <c r="F121" s="598">
        <f t="shared" si="3"/>
        <v>0</v>
      </c>
      <c r="G121" s="598">
        <f t="shared" si="3"/>
        <v>3736.4610784313722</v>
      </c>
      <c r="H121" s="598">
        <f t="shared" si="3"/>
        <v>3885.919521568627</v>
      </c>
      <c r="I121" s="598">
        <f t="shared" si="3"/>
        <v>4035.3779647058827</v>
      </c>
      <c r="J121" s="605">
        <f t="shared" si="3"/>
        <v>3288.0857490196076</v>
      </c>
    </row>
    <row r="122" spans="3:10" ht="18">
      <c r="C122" s="600"/>
      <c r="D122" s="360" t="s">
        <v>109</v>
      </c>
      <c r="E122" s="598">
        <f t="shared" si="3"/>
        <v>22418.766470588234</v>
      </c>
      <c r="F122" s="598">
        <f t="shared" si="3"/>
        <v>0</v>
      </c>
      <c r="G122" s="598">
        <f t="shared" si="3"/>
        <v>5604.691617647059</v>
      </c>
      <c r="H122" s="598">
        <f t="shared" si="3"/>
        <v>5828.87928235294</v>
      </c>
      <c r="I122" s="598">
        <f t="shared" si="3"/>
        <v>6053.066947058824</v>
      </c>
      <c r="J122" s="605">
        <f t="shared" si="3"/>
        <v>4932.128623529411</v>
      </c>
    </row>
    <row r="123" spans="3:10" ht="18">
      <c r="C123" s="601"/>
      <c r="D123" s="360"/>
      <c r="E123" s="598"/>
      <c r="F123" s="598"/>
      <c r="G123" s="598"/>
      <c r="H123" s="598"/>
      <c r="I123" s="598"/>
      <c r="J123" s="605"/>
    </row>
    <row r="124" spans="3:10" ht="18">
      <c r="C124" s="606">
        <v>3</v>
      </c>
      <c r="D124" s="547" t="s">
        <v>118</v>
      </c>
      <c r="E124" s="548"/>
      <c r="F124" s="548"/>
      <c r="G124" s="548"/>
      <c r="H124" s="548"/>
      <c r="I124" s="548"/>
      <c r="J124" s="549"/>
    </row>
    <row r="125" spans="3:10" ht="56.25">
      <c r="C125" s="607"/>
      <c r="D125" s="362" t="s">
        <v>140</v>
      </c>
      <c r="E125" s="591"/>
      <c r="F125" s="592"/>
      <c r="G125" s="592"/>
      <c r="H125" s="592"/>
      <c r="I125" s="592"/>
      <c r="J125" s="593"/>
    </row>
    <row r="126" spans="3:10" ht="36">
      <c r="C126" s="608"/>
      <c r="D126" s="587" t="s">
        <v>120</v>
      </c>
      <c r="E126" s="594">
        <f>Лист3!C57</f>
        <v>62038.437</v>
      </c>
      <c r="F126" s="596">
        <f>SUM(F127:F130)</f>
        <v>299.3</v>
      </c>
      <c r="G126" s="596">
        <f>SUM(G127:G130)</f>
        <v>15434.78425</v>
      </c>
      <c r="H126" s="596">
        <f>SUM(H127:H130)</f>
        <v>16052.17562</v>
      </c>
      <c r="I126" s="596">
        <f>SUM(I127:I130)</f>
        <v>16669.566990000003</v>
      </c>
      <c r="J126" s="597">
        <f>SUM(J127:J130)</f>
        <v>13582.610139999999</v>
      </c>
    </row>
    <row r="127" spans="3:10" ht="18">
      <c r="C127" s="608"/>
      <c r="D127" s="360" t="s">
        <v>110</v>
      </c>
      <c r="E127" s="598">
        <f>Лист3!C58</f>
        <v>23233.707843137257</v>
      </c>
      <c r="F127" s="598"/>
      <c r="G127" s="588">
        <f>E127*0.25</f>
        <v>5808.426960784314</v>
      </c>
      <c r="H127" s="588">
        <f>E127*0.26</f>
        <v>6040.764039215687</v>
      </c>
      <c r="I127" s="588">
        <f>E127*0.27</f>
        <v>6273.10111764706</v>
      </c>
      <c r="J127" s="589">
        <f>E127*0.22</f>
        <v>5111.415725490197</v>
      </c>
    </row>
    <row r="128" spans="3:11" ht="18">
      <c r="C128" s="608"/>
      <c r="D128" s="360" t="s">
        <v>111</v>
      </c>
      <c r="E128" s="598">
        <f>Лист3!C59</f>
        <v>24219.936999999998</v>
      </c>
      <c r="F128" s="598">
        <v>299.3</v>
      </c>
      <c r="G128" s="588">
        <f>K128*0.25</f>
        <v>5980.15925</v>
      </c>
      <c r="H128" s="588">
        <f>K128*0.26</f>
        <v>6219.36562</v>
      </c>
      <c r="I128" s="588">
        <f>K128*0.27</f>
        <v>6458.57199</v>
      </c>
      <c r="J128" s="589">
        <f>K128*0.22</f>
        <v>5262.54014</v>
      </c>
      <c r="K128" s="326">
        <f>E128-F128</f>
        <v>23920.637</v>
      </c>
    </row>
    <row r="129" spans="3:10" ht="18">
      <c r="C129" s="608"/>
      <c r="D129" s="360" t="s">
        <v>130</v>
      </c>
      <c r="E129" s="598">
        <f>Лист3!C60</f>
        <v>5833.916862745098</v>
      </c>
      <c r="F129" s="598"/>
      <c r="G129" s="588">
        <f>E129*0.25</f>
        <v>1458.4792156862745</v>
      </c>
      <c r="H129" s="588">
        <f>E129*0.26</f>
        <v>1516.8183843137256</v>
      </c>
      <c r="I129" s="588">
        <f>E129*0.27</f>
        <v>1575.1575529411766</v>
      </c>
      <c r="J129" s="589">
        <f>E129*0.22</f>
        <v>1283.4617098039216</v>
      </c>
    </row>
    <row r="130" spans="3:10" ht="18">
      <c r="C130" s="608"/>
      <c r="D130" s="360" t="s">
        <v>109</v>
      </c>
      <c r="E130" s="598">
        <f>Лист3!C61</f>
        <v>8750.875294117646</v>
      </c>
      <c r="F130" s="598"/>
      <c r="G130" s="588">
        <f>E130*0.25</f>
        <v>2187.7188235294116</v>
      </c>
      <c r="H130" s="588">
        <f>E130*0.26</f>
        <v>2275.2275764705882</v>
      </c>
      <c r="I130" s="588">
        <f>E130*0.27</f>
        <v>2362.7363294117645</v>
      </c>
      <c r="J130" s="589">
        <f>E130*0.22</f>
        <v>1925.1925647058822</v>
      </c>
    </row>
    <row r="131" spans="3:10" ht="56.25">
      <c r="C131" s="608"/>
      <c r="D131" s="362" t="s">
        <v>144</v>
      </c>
      <c r="E131" s="591"/>
      <c r="F131" s="592"/>
      <c r="G131" s="592"/>
      <c r="H131" s="592"/>
      <c r="I131" s="592"/>
      <c r="J131" s="593"/>
    </row>
    <row r="132" spans="3:10" ht="36">
      <c r="C132" s="608"/>
      <c r="D132" s="587" t="s">
        <v>120</v>
      </c>
      <c r="E132" s="594">
        <f>Лист3!D57</f>
        <v>8573</v>
      </c>
      <c r="F132" s="598"/>
      <c r="G132" s="596">
        <f>SUM(G133:G136)</f>
        <v>2143.25</v>
      </c>
      <c r="H132" s="596">
        <f>SUM(H133:H136)</f>
        <v>2228.98</v>
      </c>
      <c r="I132" s="596">
        <f>SUM(I133:I136)</f>
        <v>2314.71</v>
      </c>
      <c r="J132" s="597">
        <f>SUM(J133:J136)</f>
        <v>1886.06</v>
      </c>
    </row>
    <row r="133" spans="3:10" ht="18">
      <c r="C133" s="608"/>
      <c r="D133" s="360" t="s">
        <v>110</v>
      </c>
      <c r="E133" s="598">
        <f>Лист3!D58</f>
        <v>8573</v>
      </c>
      <c r="F133" s="598"/>
      <c r="G133" s="588">
        <f>E133*0.25</f>
        <v>2143.25</v>
      </c>
      <c r="H133" s="588">
        <f>E133*0.26</f>
        <v>2228.98</v>
      </c>
      <c r="I133" s="588">
        <f>E133*0.27</f>
        <v>2314.71</v>
      </c>
      <c r="J133" s="589">
        <f>E133*0.22</f>
        <v>1886.06</v>
      </c>
    </row>
    <row r="134" spans="3:10" ht="18">
      <c r="C134" s="608"/>
      <c r="D134" s="360" t="s">
        <v>111</v>
      </c>
      <c r="E134" s="598">
        <f>Лист3!D59</f>
        <v>0</v>
      </c>
      <c r="F134" s="598"/>
      <c r="G134" s="588">
        <f>E134*0.25</f>
        <v>0</v>
      </c>
      <c r="H134" s="588">
        <f>E134*0.26</f>
        <v>0</v>
      </c>
      <c r="I134" s="588">
        <f>E134*0.27</f>
        <v>0</v>
      </c>
      <c r="J134" s="589">
        <f>E134*0.22</f>
        <v>0</v>
      </c>
    </row>
    <row r="135" spans="3:10" ht="18">
      <c r="C135" s="608"/>
      <c r="D135" s="360" t="s">
        <v>130</v>
      </c>
      <c r="E135" s="598">
        <f>Лист3!D60</f>
        <v>0</v>
      </c>
      <c r="F135" s="598"/>
      <c r="G135" s="588">
        <f>E135*0.25</f>
        <v>0</v>
      </c>
      <c r="H135" s="588">
        <f>E135*0.26</f>
        <v>0</v>
      </c>
      <c r="I135" s="588">
        <f>E135*0.27</f>
        <v>0</v>
      </c>
      <c r="J135" s="589">
        <f>E135*0.22</f>
        <v>0</v>
      </c>
    </row>
    <row r="136" spans="3:10" ht="18">
      <c r="C136" s="608"/>
      <c r="D136" s="360" t="s">
        <v>109</v>
      </c>
      <c r="E136" s="598">
        <f>Лист3!D61</f>
        <v>0</v>
      </c>
      <c r="F136" s="598"/>
      <c r="G136" s="588">
        <f>E136*0.25</f>
        <v>0</v>
      </c>
      <c r="H136" s="588">
        <f>E136*0.26</f>
        <v>0</v>
      </c>
      <c r="I136" s="588">
        <f>E136*0.27</f>
        <v>0</v>
      </c>
      <c r="J136" s="589">
        <f>E136*0.22</f>
        <v>0</v>
      </c>
    </row>
    <row r="137" spans="3:10" ht="75">
      <c r="C137" s="608"/>
      <c r="D137" s="362" t="s">
        <v>138</v>
      </c>
      <c r="E137" s="591"/>
      <c r="F137" s="592"/>
      <c r="G137" s="592"/>
      <c r="H137" s="592"/>
      <c r="I137" s="592"/>
      <c r="J137" s="593"/>
    </row>
    <row r="138" spans="3:10" ht="36">
      <c r="C138" s="608"/>
      <c r="D138" s="587" t="s">
        <v>120</v>
      </c>
      <c r="E138" s="594">
        <f>Лист3!E57</f>
        <v>387770.85</v>
      </c>
      <c r="F138" s="596">
        <f>SUM(F139:F142)</f>
        <v>108459.626</v>
      </c>
      <c r="G138" s="596">
        <f>SUM(G139:G142)</f>
        <v>88439.916</v>
      </c>
      <c r="H138" s="596">
        <f>SUM(H139:H142)</f>
        <v>70071.80600000001</v>
      </c>
      <c r="I138" s="596">
        <f>SUM(I139:I142)</f>
        <v>68611.026</v>
      </c>
      <c r="J138" s="597">
        <f>SUM(J139:J142)</f>
        <v>52188.476</v>
      </c>
    </row>
    <row r="139" spans="3:10" ht="18">
      <c r="C139" s="608"/>
      <c r="D139" s="360" t="s">
        <v>110</v>
      </c>
      <c r="E139" s="598">
        <f>Лист3!E58</f>
        <v>0</v>
      </c>
      <c r="F139" s="598"/>
      <c r="G139" s="588">
        <f>E139*0.25</f>
        <v>0</v>
      </c>
      <c r="H139" s="588">
        <f>E139*0.26</f>
        <v>0</v>
      </c>
      <c r="I139" s="588">
        <f>E139*0.27</f>
        <v>0</v>
      </c>
      <c r="J139" s="589">
        <f>E139*0.22</f>
        <v>0</v>
      </c>
    </row>
    <row r="140" spans="3:10" ht="18">
      <c r="C140" s="608"/>
      <c r="D140" s="360" t="s">
        <v>111</v>
      </c>
      <c r="E140" s="598">
        <f>Лист3!E59</f>
        <v>12000</v>
      </c>
      <c r="F140" s="598"/>
      <c r="G140" s="588"/>
      <c r="H140" s="588"/>
      <c r="I140" s="588">
        <v>6000</v>
      </c>
      <c r="J140" s="589">
        <v>6000</v>
      </c>
    </row>
    <row r="141" spans="3:10" ht="18">
      <c r="C141" s="608"/>
      <c r="D141" s="360" t="s">
        <v>130</v>
      </c>
      <c r="E141" s="598">
        <f>Лист3!E60</f>
        <v>132759.13</v>
      </c>
      <c r="F141" s="598">
        <f>E141*0.2</f>
        <v>26551.826</v>
      </c>
      <c r="G141" s="588">
        <f>E141*0.2</f>
        <v>26551.826</v>
      </c>
      <c r="H141" s="588">
        <f>E141*0.2</f>
        <v>26551.826</v>
      </c>
      <c r="I141" s="588">
        <f>E141*0.2</f>
        <v>26551.826</v>
      </c>
      <c r="J141" s="589">
        <f>E141*0.2</f>
        <v>26551.826</v>
      </c>
    </row>
    <row r="142" spans="3:10" ht="18">
      <c r="C142" s="608"/>
      <c r="D142" s="360" t="s">
        <v>109</v>
      </c>
      <c r="E142" s="598">
        <f>Лист3!E61</f>
        <v>243011.72</v>
      </c>
      <c r="F142" s="598">
        <v>81907.8</v>
      </c>
      <c r="G142" s="588">
        <v>61888.09</v>
      </c>
      <c r="H142" s="588">
        <v>43519.98</v>
      </c>
      <c r="I142" s="588">
        <v>36059.2</v>
      </c>
      <c r="J142" s="589">
        <v>19636.65</v>
      </c>
    </row>
    <row r="143" spans="3:10" ht="75">
      <c r="C143" s="608"/>
      <c r="D143" s="362" t="s">
        <v>145</v>
      </c>
      <c r="E143" s="591"/>
      <c r="F143" s="592"/>
      <c r="G143" s="592"/>
      <c r="H143" s="592"/>
      <c r="I143" s="592"/>
      <c r="J143" s="593"/>
    </row>
    <row r="144" spans="3:10" ht="36">
      <c r="C144" s="608"/>
      <c r="D144" s="587" t="s">
        <v>120</v>
      </c>
      <c r="E144" s="594">
        <f>Лист3!L57</f>
        <v>6674.6</v>
      </c>
      <c r="F144" s="598"/>
      <c r="G144" s="596">
        <f>SUM(G145:G148)</f>
        <v>1668.65</v>
      </c>
      <c r="H144" s="596">
        <f>SUM(H145:H148)</f>
        <v>1735.3960000000002</v>
      </c>
      <c r="I144" s="596">
        <f>SUM(I145:I148)</f>
        <v>1802.1420000000003</v>
      </c>
      <c r="J144" s="597">
        <f>SUM(J145:J148)</f>
        <v>1468.412</v>
      </c>
    </row>
    <row r="145" spans="3:10" ht="18">
      <c r="C145" s="608"/>
      <c r="D145" s="360" t="s">
        <v>110</v>
      </c>
      <c r="E145" s="598">
        <f>Лист3!L58</f>
        <v>5562.166666666667</v>
      </c>
      <c r="F145" s="598"/>
      <c r="G145" s="588">
        <f>E145*0.25</f>
        <v>1390.5416666666667</v>
      </c>
      <c r="H145" s="588">
        <f>E145*0.26</f>
        <v>1446.1633333333334</v>
      </c>
      <c r="I145" s="588">
        <f>E145*0.27</f>
        <v>1501.785</v>
      </c>
      <c r="J145" s="589">
        <f>E145*0.22</f>
        <v>1223.6766666666667</v>
      </c>
    </row>
    <row r="146" spans="3:10" ht="18">
      <c r="C146" s="608"/>
      <c r="D146" s="360" t="s">
        <v>111</v>
      </c>
      <c r="E146" s="598">
        <f>Лист3!L59</f>
        <v>0</v>
      </c>
      <c r="F146" s="598"/>
      <c r="G146" s="588">
        <f>E146*0.25</f>
        <v>0</v>
      </c>
      <c r="H146" s="588">
        <f>E146*0.26</f>
        <v>0</v>
      </c>
      <c r="I146" s="588">
        <f>E146*0.27</f>
        <v>0</v>
      </c>
      <c r="J146" s="589">
        <f>E146*0.22</f>
        <v>0</v>
      </c>
    </row>
    <row r="147" spans="3:10" ht="18">
      <c r="C147" s="608"/>
      <c r="D147" s="360" t="s">
        <v>130</v>
      </c>
      <c r="E147" s="598">
        <f>Лист3!L60</f>
        <v>444.97333333333336</v>
      </c>
      <c r="F147" s="598"/>
      <c r="G147" s="588">
        <f>E147*0.25</f>
        <v>111.24333333333334</v>
      </c>
      <c r="H147" s="588">
        <f>E147*0.26</f>
        <v>115.69306666666668</v>
      </c>
      <c r="I147" s="588">
        <f>E147*0.27</f>
        <v>120.14280000000001</v>
      </c>
      <c r="J147" s="589">
        <f>E147*0.22</f>
        <v>97.89413333333334</v>
      </c>
    </row>
    <row r="148" spans="3:10" ht="18">
      <c r="C148" s="608"/>
      <c r="D148" s="360" t="s">
        <v>109</v>
      </c>
      <c r="E148" s="598">
        <f>Лист3!L61</f>
        <v>667.46</v>
      </c>
      <c r="F148" s="598"/>
      <c r="G148" s="588">
        <f>E148*0.25</f>
        <v>166.865</v>
      </c>
      <c r="H148" s="588">
        <f>E148*0.26</f>
        <v>173.5396</v>
      </c>
      <c r="I148" s="588">
        <f>E148*0.27</f>
        <v>180.21420000000003</v>
      </c>
      <c r="J148" s="589">
        <f>E148*0.22</f>
        <v>146.84120000000001</v>
      </c>
    </row>
    <row r="149" spans="3:10" ht="18">
      <c r="C149" s="608"/>
      <c r="D149" s="360"/>
      <c r="E149" s="598"/>
      <c r="F149" s="598"/>
      <c r="G149" s="598"/>
      <c r="H149" s="598"/>
      <c r="I149" s="598"/>
      <c r="J149" s="605"/>
    </row>
    <row r="150" spans="3:10" ht="18.75">
      <c r="C150" s="608"/>
      <c r="D150" s="559" t="s">
        <v>143</v>
      </c>
      <c r="E150" s="560"/>
      <c r="F150" s="560"/>
      <c r="G150" s="560"/>
      <c r="H150" s="560"/>
      <c r="I150" s="560"/>
      <c r="J150" s="561"/>
    </row>
    <row r="151" spans="3:10" ht="36">
      <c r="C151" s="608"/>
      <c r="D151" s="587" t="s">
        <v>120</v>
      </c>
      <c r="E151" s="594">
        <f>Лист3!M57</f>
        <v>465056.887</v>
      </c>
      <c r="F151" s="594">
        <f>F138+F132+F126+F144</f>
        <v>108758.926</v>
      </c>
      <c r="G151" s="594">
        <f>G138+G132+G126+G144</f>
        <v>107686.60024999999</v>
      </c>
      <c r="H151" s="594">
        <f>H138+H132+H126+H144</f>
        <v>90088.35762</v>
      </c>
      <c r="I151" s="594">
        <f>I138+I132+I126+I144</f>
        <v>89397.44499000002</v>
      </c>
      <c r="J151" s="604">
        <f>J138+J132+J126+J144</f>
        <v>69125.55814</v>
      </c>
    </row>
    <row r="152" spans="3:10" ht="18">
      <c r="C152" s="608"/>
      <c r="D152" s="360" t="s">
        <v>110</v>
      </c>
      <c r="E152" s="598">
        <f aca="true" t="shared" si="4" ref="E152:J155">E139+E133+E127+E145</f>
        <v>37368.87450980392</v>
      </c>
      <c r="F152" s="598">
        <f t="shared" si="4"/>
        <v>0</v>
      </c>
      <c r="G152" s="598">
        <f t="shared" si="4"/>
        <v>9342.21862745098</v>
      </c>
      <c r="H152" s="598">
        <f t="shared" si="4"/>
        <v>9715.907372549022</v>
      </c>
      <c r="I152" s="598">
        <f t="shared" si="4"/>
        <v>10089.59611764706</v>
      </c>
      <c r="J152" s="605">
        <f t="shared" si="4"/>
        <v>8221.152392156862</v>
      </c>
    </row>
    <row r="153" spans="3:10" ht="18">
      <c r="C153" s="608"/>
      <c r="D153" s="360" t="s">
        <v>111</v>
      </c>
      <c r="E153" s="598">
        <f t="shared" si="4"/>
        <v>36219.937</v>
      </c>
      <c r="F153" s="598">
        <f t="shared" si="4"/>
        <v>299.3</v>
      </c>
      <c r="G153" s="598">
        <f aca="true" t="shared" si="5" ref="G153:J155">G140+G134+G128+G146</f>
        <v>5980.15925</v>
      </c>
      <c r="H153" s="598">
        <f t="shared" si="5"/>
        <v>6219.36562</v>
      </c>
      <c r="I153" s="598">
        <f t="shared" si="5"/>
        <v>12458.57199</v>
      </c>
      <c r="J153" s="605">
        <f t="shared" si="5"/>
        <v>11262.540140000001</v>
      </c>
    </row>
    <row r="154" spans="3:10" ht="18">
      <c r="C154" s="608"/>
      <c r="D154" s="360" t="s">
        <v>130</v>
      </c>
      <c r="E154" s="598">
        <f t="shared" si="4"/>
        <v>139038.02019607843</v>
      </c>
      <c r="F154" s="598">
        <f t="shared" si="4"/>
        <v>26551.826</v>
      </c>
      <c r="G154" s="598">
        <f t="shared" si="5"/>
        <v>28121.548549019608</v>
      </c>
      <c r="H154" s="598">
        <f t="shared" si="5"/>
        <v>28184.337450980394</v>
      </c>
      <c r="I154" s="598">
        <f t="shared" si="5"/>
        <v>28247.12635294118</v>
      </c>
      <c r="J154" s="605">
        <f t="shared" si="5"/>
        <v>27933.18184313726</v>
      </c>
    </row>
    <row r="155" spans="3:10" ht="18">
      <c r="C155" s="609"/>
      <c r="D155" s="360" t="s">
        <v>109</v>
      </c>
      <c r="E155" s="598">
        <f t="shared" si="4"/>
        <v>252430.05529411763</v>
      </c>
      <c r="F155" s="598">
        <f t="shared" si="4"/>
        <v>81907.8</v>
      </c>
      <c r="G155" s="598">
        <f t="shared" si="5"/>
        <v>64242.6738235294</v>
      </c>
      <c r="H155" s="598">
        <f t="shared" si="5"/>
        <v>45968.74717647059</v>
      </c>
      <c r="I155" s="598">
        <f t="shared" si="5"/>
        <v>38602.15052941177</v>
      </c>
      <c r="J155" s="605">
        <f t="shared" si="5"/>
        <v>21708.683764705882</v>
      </c>
    </row>
    <row r="156" spans="3:10" ht="18">
      <c r="C156" s="601"/>
      <c r="D156" s="360"/>
      <c r="E156" s="598"/>
      <c r="F156" s="595"/>
      <c r="G156" s="595"/>
      <c r="H156" s="595"/>
      <c r="I156" s="595"/>
      <c r="J156" s="602"/>
    </row>
    <row r="157" spans="3:10" ht="18">
      <c r="C157" s="610"/>
      <c r="D157" s="556" t="s">
        <v>146</v>
      </c>
      <c r="E157" s="557"/>
      <c r="F157" s="557"/>
      <c r="G157" s="557"/>
      <c r="H157" s="557"/>
      <c r="I157" s="557"/>
      <c r="J157" s="558"/>
    </row>
    <row r="158" spans="3:10" ht="36">
      <c r="C158" s="611"/>
      <c r="D158" s="587" t="s">
        <v>120</v>
      </c>
      <c r="E158" s="594">
        <f>E151+E118+E85</f>
        <v>1425482.8159999999</v>
      </c>
      <c r="F158" s="612">
        <f>SUM(F159:F162)</f>
        <v>111816.73700000001</v>
      </c>
      <c r="G158" s="612">
        <f>SUM(G159:G162)</f>
        <v>347028.62970588234</v>
      </c>
      <c r="H158" s="612">
        <f>SUM(H159:H162)</f>
        <v>339004.0682541177</v>
      </c>
      <c r="I158" s="612">
        <f>SUM(I159:I162)</f>
        <v>347886.8368023529</v>
      </c>
      <c r="J158" s="612">
        <f>SUM(J159:J162)</f>
        <v>279746.5440611765</v>
      </c>
    </row>
    <row r="159" spans="3:10" ht="18">
      <c r="C159" s="611"/>
      <c r="D159" s="360" t="s">
        <v>110</v>
      </c>
      <c r="E159" s="594">
        <f aca="true" t="shared" si="6" ref="E159:J162">E152+E119+E86</f>
        <v>546068.4088235294</v>
      </c>
      <c r="F159" s="598">
        <f t="shared" si="6"/>
        <v>0</v>
      </c>
      <c r="G159" s="598">
        <f t="shared" si="6"/>
        <v>136517.10220588237</v>
      </c>
      <c r="H159" s="598">
        <f t="shared" si="6"/>
        <v>141977.78629411766</v>
      </c>
      <c r="I159" s="598">
        <f t="shared" si="6"/>
        <v>147438.47038235294</v>
      </c>
      <c r="J159" s="598">
        <f t="shared" si="6"/>
        <v>120135.04994117648</v>
      </c>
    </row>
    <row r="160" spans="3:10" ht="18">
      <c r="C160" s="611"/>
      <c r="D160" s="360" t="s">
        <v>111</v>
      </c>
      <c r="E160" s="594">
        <f t="shared" si="6"/>
        <v>67533.466</v>
      </c>
      <c r="F160" s="598">
        <f t="shared" si="6"/>
        <v>3073.91</v>
      </c>
      <c r="G160" s="598">
        <f t="shared" si="6"/>
        <v>13114.889</v>
      </c>
      <c r="H160" s="598">
        <f t="shared" si="6"/>
        <v>13639.484559999999</v>
      </c>
      <c r="I160" s="598">
        <f t="shared" si="6"/>
        <v>20164.08012</v>
      </c>
      <c r="J160" s="598">
        <f t="shared" si="6"/>
        <v>17541.10232</v>
      </c>
    </row>
    <row r="161" spans="3:10" ht="18">
      <c r="C161" s="611"/>
      <c r="D161" s="360" t="s">
        <v>130</v>
      </c>
      <c r="E161" s="594">
        <f t="shared" si="6"/>
        <v>307203.16647058824</v>
      </c>
      <c r="F161" s="598">
        <f t="shared" si="6"/>
        <v>26835.027000000002</v>
      </c>
      <c r="G161" s="598">
        <f t="shared" si="6"/>
        <v>70092.03482352941</v>
      </c>
      <c r="H161" s="598">
        <f t="shared" si="6"/>
        <v>71833.64317647059</v>
      </c>
      <c r="I161" s="598">
        <f t="shared" si="6"/>
        <v>73575.25152941176</v>
      </c>
      <c r="J161" s="598">
        <f t="shared" si="6"/>
        <v>64867.209764705876</v>
      </c>
    </row>
    <row r="162" spans="3:10" ht="18.75" thickBot="1">
      <c r="C162" s="613"/>
      <c r="D162" s="363" t="s">
        <v>109</v>
      </c>
      <c r="E162" s="594">
        <f t="shared" si="6"/>
        <v>504677.7747058823</v>
      </c>
      <c r="F162" s="598">
        <f t="shared" si="6"/>
        <v>81907.8</v>
      </c>
      <c r="G162" s="598">
        <f t="shared" si="6"/>
        <v>127304.60367647058</v>
      </c>
      <c r="H162" s="598">
        <f t="shared" si="6"/>
        <v>111553.15422352942</v>
      </c>
      <c r="I162" s="598">
        <f t="shared" si="6"/>
        <v>106709.03477058825</v>
      </c>
      <c r="J162" s="598">
        <f t="shared" si="6"/>
        <v>77203.18203529413</v>
      </c>
    </row>
  </sheetData>
  <sheetProtection/>
  <mergeCells count="38">
    <mergeCell ref="H1:J1"/>
    <mergeCell ref="H2:J2"/>
    <mergeCell ref="D157:J157"/>
    <mergeCell ref="E98:J98"/>
    <mergeCell ref="E137:J137"/>
    <mergeCell ref="E143:J143"/>
    <mergeCell ref="D150:J150"/>
    <mergeCell ref="D117:J117"/>
    <mergeCell ref="E125:J125"/>
    <mergeCell ref="E131:J131"/>
    <mergeCell ref="D7:D9"/>
    <mergeCell ref="E66:J66"/>
    <mergeCell ref="E72:J72"/>
    <mergeCell ref="C7:C9"/>
    <mergeCell ref="E12:J12"/>
    <mergeCell ref="D11:J11"/>
    <mergeCell ref="C12:C89"/>
    <mergeCell ref="E18:J18"/>
    <mergeCell ref="E24:J24"/>
    <mergeCell ref="E30:J30"/>
    <mergeCell ref="E7:J7"/>
    <mergeCell ref="E36:J36"/>
    <mergeCell ref="E54:J54"/>
    <mergeCell ref="E60:J60"/>
    <mergeCell ref="D91:J91"/>
    <mergeCell ref="E92:J92"/>
    <mergeCell ref="E42:J42"/>
    <mergeCell ref="E48:J48"/>
    <mergeCell ref="C4:J4"/>
    <mergeCell ref="C157:C162"/>
    <mergeCell ref="F8:J8"/>
    <mergeCell ref="E8:E9"/>
    <mergeCell ref="C92:C122"/>
    <mergeCell ref="D124:J124"/>
    <mergeCell ref="C125:C155"/>
    <mergeCell ref="E104:J104"/>
    <mergeCell ref="E110:J110"/>
    <mergeCell ref="D84:J84"/>
  </mergeCells>
  <printOptions/>
  <pageMargins left="0.7874015748031497" right="0.7874015748031497" top="0.984251968503937" bottom="0.984251968503937" header="0.5118110236220472" footer="0.5118110236220472"/>
  <pageSetup firstPageNumber="118" useFirstPageNumber="1" horizontalDpi="600" verticalDpi="600" orientation="portrait" paperSize="9" scale="5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Bunina</dc:creator>
  <cp:keywords/>
  <dc:description/>
  <cp:lastModifiedBy>moroz</cp:lastModifiedBy>
  <cp:lastPrinted>2012-12-25T15:39:22Z</cp:lastPrinted>
  <dcterms:created xsi:type="dcterms:W3CDTF">2011-11-16T09:30:42Z</dcterms:created>
  <dcterms:modified xsi:type="dcterms:W3CDTF">2012-12-25T15:41:18Z</dcterms:modified>
  <cp:category/>
  <cp:version/>
  <cp:contentType/>
  <cp:contentStatus/>
</cp:coreProperties>
</file>